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tables/table3.xml" ContentType="application/vnd.openxmlformats-officedocument.spreadsheetml.table+xml"/>
  <Override PartName="/xl/slicers/slicer1.xml" ContentType="application/vnd.ms-excel.slicer+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nhcr365-my.sharepoint.com/personal/sambe_unhcr_org/Documents/2025_CLUSTER CCCM -ABRIS-NFI/COORDINATION/PUBLICATION/"/>
    </mc:Choice>
  </mc:AlternateContent>
  <xr:revisionPtr revIDLastSave="0" documentId="8_{747BECAB-BE20-49BD-A440-5A1566A2656C}" xr6:coauthVersionLast="47" xr6:coauthVersionMax="47" xr10:uidLastSave="{00000000-0000-0000-0000-000000000000}"/>
  <bookViews>
    <workbookView xWindow="110" yWindow="110" windowWidth="19180" windowHeight="10060" activeTab="2" xr2:uid="{96FDA9B7-0B01-4F18-9569-8EAB92A3B33B}"/>
  </bookViews>
  <sheets>
    <sheet name="README" sheetId="14" r:id="rId1"/>
    <sheet name="Sheet5" sheetId="17" state="hidden" r:id="rId2"/>
    <sheet name="PDI Sites" sheetId="1" r:id="rId3"/>
    <sheet name="PDI Famille accueil" sheetId="10" r:id="rId4"/>
    <sheet name="Sheet2" sheetId="13" state="hidden" r:id="rId5"/>
    <sheet name="Sheet3" sheetId="15" state="hidden" r:id="rId6"/>
    <sheet name="Sheet4" sheetId="16" state="hidden" r:id="rId7"/>
    <sheet name="Situation globale" sheetId="11" r:id="rId8"/>
    <sheet name="Sheet1" sheetId="12" state="hidden" r:id="rId9"/>
  </sheets>
  <definedNames>
    <definedName name="_xlnm._FilterDatabase" localSheetId="3" hidden="1">'PDI Famille accueil'!$B$5:$K$185</definedName>
    <definedName name="_xlnm._FilterDatabase" localSheetId="6" hidden="1">Sheet4!$G$1:$J$22</definedName>
    <definedName name="_xlnm.Print_Area" localSheetId="2">'PDI Sites'!$A$1:$Z$113</definedName>
    <definedName name="_xlnm.Print_Titles" localSheetId="2">'PDI Sites'!$4:$4</definedName>
    <definedName name="Slicer_Admin1">#N/A</definedName>
    <definedName name="Slicer_Admin2">#N/A</definedName>
    <definedName name="Table2" localSheetId="3">Table4[]</definedName>
  </definedNames>
  <calcPr calcId="191029"/>
  <pivotCaches>
    <pivotCache cacheId="0" r:id="rId10"/>
    <pivotCache cacheId="1" r:id="rId11"/>
    <pivotCache cacheId="2" r:id="rId12"/>
    <pivotCache cacheId="3" r:id="rId13"/>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4"/>
        <x14:slicerCache r:id="rId1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0" i="10" l="1"/>
  <c r="R140" i="10" s="1"/>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1" i="10"/>
  <c r="S142" i="10"/>
  <c r="S143" i="10"/>
  <c r="S144" i="10"/>
  <c r="S145" i="10"/>
  <c r="S146" i="10"/>
  <c r="S147" i="10"/>
  <c r="S148" i="10"/>
  <c r="S149" i="10"/>
  <c r="S150" i="10"/>
  <c r="S151" i="10"/>
  <c r="S152" i="10"/>
  <c r="S153" i="10"/>
  <c r="S154"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1" i="10"/>
  <c r="R142" i="10"/>
  <c r="R143" i="10"/>
  <c r="R144" i="10"/>
  <c r="R145" i="10"/>
  <c r="R146" i="10"/>
  <c r="R147" i="10"/>
  <c r="R148" i="10"/>
  <c r="R149" i="10"/>
  <c r="R150" i="10"/>
  <c r="R151" i="10"/>
  <c r="R152" i="10"/>
  <c r="R153" i="10"/>
  <c r="R154"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53" i="11"/>
  <c r="H154" i="11"/>
  <c r="H155" i="11"/>
  <c r="H156" i="11"/>
  <c r="H157" i="11"/>
  <c r="H158" i="11"/>
  <c r="H159" i="11"/>
  <c r="H160" i="11"/>
  <c r="H161" i="11"/>
  <c r="H162" i="11"/>
  <c r="H163" i="11"/>
  <c r="H164" i="11"/>
  <c r="H165" i="11"/>
  <c r="H166" i="11"/>
  <c r="H167" i="11"/>
  <c r="H168" i="11"/>
  <c r="H169" i="11"/>
  <c r="H170" i="11"/>
  <c r="H171" i="11"/>
  <c r="H172" i="11"/>
  <c r="H173" i="11"/>
  <c r="H174" i="11"/>
  <c r="H175" i="11"/>
  <c r="H176" i="11"/>
  <c r="H177" i="11"/>
  <c r="H178" i="11"/>
  <c r="H179" i="11"/>
  <c r="H180" i="11"/>
  <c r="H181" i="11"/>
  <c r="H182" i="11"/>
  <c r="H183" i="11"/>
  <c r="H184" i="11"/>
  <c r="H185" i="11"/>
  <c r="H186" i="11"/>
  <c r="L187" i="10"/>
  <c r="M187" i="10"/>
  <c r="Q155" i="10"/>
  <c r="P155" i="10"/>
  <c r="I58" i="11" s="1"/>
  <c r="Q129" i="10"/>
  <c r="P129" i="10"/>
  <c r="Q128" i="10"/>
  <c r="Q187" i="10" s="1"/>
  <c r="P128" i="10"/>
  <c r="Q127" i="10"/>
  <c r="P127" i="10"/>
  <c r="Q126" i="10"/>
  <c r="P126" i="10"/>
  <c r="P91" i="10"/>
  <c r="Q76" i="10"/>
  <c r="P76" i="10"/>
  <c r="Q24" i="10"/>
  <c r="P24" i="10"/>
  <c r="Q6" i="10"/>
  <c r="P6" i="10"/>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S113" i="1"/>
  <c r="R113" i="1"/>
  <c r="R66" i="1"/>
  <c r="O6" i="10"/>
  <c r="N6" i="10"/>
  <c r="O24" i="10"/>
  <c r="N24" i="10"/>
  <c r="S140" i="10" l="1"/>
  <c r="I97" i="11"/>
  <c r="P187" i="10"/>
  <c r="O126" i="10"/>
  <c r="N126" i="10"/>
  <c r="O127" i="10"/>
  <c r="N127" i="10"/>
  <c r="N128" i="10" l="1"/>
  <c r="N91" i="10" l="1"/>
  <c r="V41" i="1"/>
  <c r="V42" i="1"/>
  <c r="V43" i="1"/>
  <c r="V108" i="1" l="1"/>
  <c r="V105" i="1"/>
  <c r="V106" i="1"/>
  <c r="V107" i="1"/>
  <c r="P113" i="1" l="1"/>
  <c r="Q113" i="1"/>
  <c r="P66" i="1"/>
  <c r="O155" i="10"/>
  <c r="O129" i="10"/>
  <c r="N129" i="10"/>
  <c r="O76" i="10"/>
  <c r="N76" i="10"/>
  <c r="V6" i="10"/>
  <c r="V107" i="10"/>
  <c r="M155" i="10"/>
  <c r="L155" i="10"/>
  <c r="N155" i="10" s="1"/>
  <c r="M129" i="10"/>
  <c r="L129" i="10"/>
  <c r="M128" i="10"/>
  <c r="O128" i="10" s="1"/>
  <c r="O187" i="10" s="1"/>
  <c r="L128" i="10"/>
  <c r="M76" i="10"/>
  <c r="L76" i="10"/>
  <c r="S155" i="10" l="1"/>
  <c r="R155" i="10"/>
  <c r="N187" i="10"/>
  <c r="O113" i="1"/>
  <c r="N66" i="1"/>
  <c r="N113" i="1" l="1"/>
  <c r="AK52" i="12" l="1"/>
  <c r="AK37" i="12"/>
  <c r="AK50" i="12"/>
  <c r="AK65" i="12"/>
  <c r="AK32" i="12"/>
  <c r="AK22" i="12"/>
  <c r="AK66" i="12"/>
  <c r="AK63" i="12"/>
  <c r="AK61" i="12"/>
  <c r="AK16" i="12"/>
  <c r="AK53" i="12"/>
  <c r="AK58" i="12"/>
  <c r="AK64" i="12"/>
  <c r="AK46" i="12"/>
  <c r="AK30" i="12"/>
  <c r="AK10" i="12"/>
  <c r="AK23" i="12"/>
  <c r="AK24" i="12"/>
  <c r="AK56" i="12"/>
  <c r="AK26" i="12"/>
  <c r="AK12" i="12"/>
  <c r="AK21" i="12"/>
  <c r="AK25" i="12"/>
  <c r="AK39" i="12"/>
  <c r="AK42" i="12"/>
  <c r="AK60" i="12"/>
  <c r="AK55" i="12"/>
  <c r="AK17" i="12"/>
  <c r="AK54" i="12"/>
  <c r="AK7" i="12"/>
  <c r="AK18" i="12"/>
  <c r="AK38" i="12"/>
  <c r="AK36" i="12"/>
  <c r="AK29" i="12"/>
  <c r="AK40" i="12"/>
  <c r="AK45" i="12"/>
  <c r="AK62" i="12"/>
  <c r="AK57" i="12"/>
  <c r="AK44" i="12"/>
  <c r="AK49" i="12"/>
  <c r="AK11" i="12"/>
  <c r="AK27" i="12"/>
  <c r="AK33" i="12"/>
  <c r="AK59" i="12"/>
  <c r="AK20" i="12"/>
  <c r="AK28" i="12"/>
  <c r="AK41" i="12"/>
  <c r="AK34" i="12"/>
  <c r="AK8" i="12"/>
  <c r="AK31" i="12"/>
  <c r="AK14" i="12"/>
  <c r="AK19" i="12"/>
  <c r="AK15" i="12"/>
  <c r="AK51" i="12"/>
  <c r="AK9" i="12"/>
  <c r="AK67" i="12"/>
  <c r="AK35" i="12"/>
  <c r="AK13" i="12"/>
  <c r="AK43" i="12"/>
  <c r="AK48" i="12"/>
  <c r="AK47" i="12"/>
  <c r="L20" i="12"/>
  <c r="L21" i="12"/>
  <c r="L29" i="12"/>
  <c r="L24" i="12"/>
  <c r="L38" i="12"/>
  <c r="L22" i="12"/>
  <c r="L28" i="12"/>
  <c r="L40" i="12"/>
  <c r="L30" i="12"/>
  <c r="L26" i="12"/>
  <c r="L18" i="12"/>
  <c r="L19" i="12"/>
  <c r="L9" i="12"/>
  <c r="L11" i="12"/>
  <c r="L13" i="12"/>
  <c r="L39" i="12"/>
  <c r="L36" i="12"/>
  <c r="L14" i="12"/>
  <c r="L35" i="12"/>
  <c r="L32" i="12"/>
  <c r="L37" i="12"/>
  <c r="L31" i="12"/>
  <c r="L17" i="12"/>
  <c r="L25" i="12"/>
  <c r="L12" i="12"/>
  <c r="L15" i="12"/>
  <c r="L5" i="12"/>
  <c r="L33" i="12"/>
  <c r="L23" i="12"/>
  <c r="L10" i="12"/>
  <c r="L16" i="12"/>
  <c r="L34" i="12"/>
  <c r="L6" i="12"/>
  <c r="L27" i="12"/>
  <c r="L7" i="12"/>
  <c r="L8" i="12"/>
  <c r="K155" i="10" l="1"/>
  <c r="J155" i="10"/>
  <c r="I187" i="10"/>
  <c r="H187" i="10"/>
  <c r="K76" i="10"/>
  <c r="J76" i="10"/>
  <c r="K129" i="10"/>
  <c r="J129" i="10"/>
  <c r="K128" i="10"/>
  <c r="J128" i="10"/>
  <c r="V155" i="10" l="1"/>
  <c r="T155" i="10"/>
  <c r="V7" i="10"/>
  <c r="V8" i="10"/>
  <c r="V9" i="10"/>
  <c r="V10" i="10"/>
  <c r="V11" i="10"/>
  <c r="V12" i="10"/>
  <c r="V14" i="10"/>
  <c r="V15" i="10"/>
  <c r="V16" i="10"/>
  <c r="V17" i="10"/>
  <c r="V18" i="10"/>
  <c r="V19" i="10"/>
  <c r="V20" i="10"/>
  <c r="V21" i="10"/>
  <c r="V22" i="10"/>
  <c r="V23" i="10"/>
  <c r="V24" i="10"/>
  <c r="V25"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58" i="10"/>
  <c r="V59" i="10"/>
  <c r="V60" i="10"/>
  <c r="V62" i="10"/>
  <c r="V63" i="10"/>
  <c r="V64" i="10"/>
  <c r="V65" i="10"/>
  <c r="V66" i="10"/>
  <c r="V67" i="10"/>
  <c r="V68" i="10"/>
  <c r="V69" i="10"/>
  <c r="V70" i="10"/>
  <c r="V71" i="10"/>
  <c r="V72" i="10"/>
  <c r="V73" i="10"/>
  <c r="V74" i="10"/>
  <c r="V75" i="10"/>
  <c r="V76" i="10"/>
  <c r="V77" i="10"/>
  <c r="V78" i="10"/>
  <c r="V79" i="10"/>
  <c r="V80" i="10"/>
  <c r="V81" i="10"/>
  <c r="V82" i="10"/>
  <c r="V83" i="10"/>
  <c r="V84" i="10"/>
  <c r="V85" i="10"/>
  <c r="V86" i="10"/>
  <c r="V87" i="10"/>
  <c r="V88" i="10"/>
  <c r="V89" i="10"/>
  <c r="V90" i="10"/>
  <c r="V91" i="10"/>
  <c r="V92" i="10"/>
  <c r="V93" i="10"/>
  <c r="V94" i="10"/>
  <c r="V95" i="10"/>
  <c r="V96" i="10"/>
  <c r="V97" i="10"/>
  <c r="V98" i="10"/>
  <c r="V99" i="10"/>
  <c r="V100" i="10"/>
  <c r="V101" i="10"/>
  <c r="V102" i="10"/>
  <c r="V103" i="10"/>
  <c r="V104" i="10"/>
  <c r="V105" i="10"/>
  <c r="V106" i="10"/>
  <c r="V108" i="10"/>
  <c r="V109" i="10"/>
  <c r="V110" i="10"/>
  <c r="V111" i="10"/>
  <c r="V112" i="10"/>
  <c r="V113" i="10"/>
  <c r="V114" i="10"/>
  <c r="V115" i="10"/>
  <c r="V116" i="10"/>
  <c r="V117" i="10"/>
  <c r="V118" i="10"/>
  <c r="V119" i="10"/>
  <c r="V120" i="10"/>
  <c r="V121" i="10"/>
  <c r="V122" i="10"/>
  <c r="V123" i="10"/>
  <c r="V124" i="10"/>
  <c r="V125" i="10"/>
  <c r="V126" i="10"/>
  <c r="V127" i="10"/>
  <c r="V128" i="10"/>
  <c r="V129" i="10"/>
  <c r="V130" i="10"/>
  <c r="V131" i="10"/>
  <c r="V132" i="10"/>
  <c r="V133" i="10"/>
  <c r="V134" i="10"/>
  <c r="V135" i="10"/>
  <c r="V136" i="10"/>
  <c r="V137" i="10"/>
  <c r="V138" i="10"/>
  <c r="V139" i="10"/>
  <c r="V140" i="10"/>
  <c r="V141" i="10"/>
  <c r="V142" i="10"/>
  <c r="V143" i="10"/>
  <c r="V144" i="10"/>
  <c r="V145" i="10"/>
  <c r="V146" i="10"/>
  <c r="V147" i="10"/>
  <c r="V148" i="10"/>
  <c r="V149" i="10"/>
  <c r="V150" i="10"/>
  <c r="V151" i="10"/>
  <c r="V152" i="10"/>
  <c r="V153" i="10"/>
  <c r="V154" i="10"/>
  <c r="V156" i="10"/>
  <c r="V157" i="10"/>
  <c r="V158" i="10"/>
  <c r="V159" i="10"/>
  <c r="V160" i="10"/>
  <c r="V161" i="10"/>
  <c r="V162" i="10"/>
  <c r="V163" i="10"/>
  <c r="V164" i="10"/>
  <c r="V165" i="10"/>
  <c r="V166" i="10"/>
  <c r="V167" i="10"/>
  <c r="V168" i="10"/>
  <c r="V169" i="10"/>
  <c r="V170" i="10"/>
  <c r="V171" i="10"/>
  <c r="V172" i="10"/>
  <c r="V173" i="10"/>
  <c r="V174" i="10"/>
  <c r="V175" i="10"/>
  <c r="V176" i="10"/>
  <c r="V177" i="10"/>
  <c r="V178" i="10"/>
  <c r="V179" i="10"/>
  <c r="V180" i="10"/>
  <c r="V181" i="10"/>
  <c r="V182" i="10"/>
  <c r="V183" i="10"/>
  <c r="V184" i="10"/>
  <c r="V185" i="10"/>
  <c r="K187" i="10"/>
  <c r="J139" i="11"/>
  <c r="J140" i="11"/>
  <c r="J141" i="11"/>
  <c r="T6" i="10"/>
  <c r="T7" i="10"/>
  <c r="T8" i="10"/>
  <c r="T9" i="10"/>
  <c r="T10" i="10"/>
  <c r="T11" i="10"/>
  <c r="T12"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94" i="10"/>
  <c r="T95" i="10"/>
  <c r="T96" i="10"/>
  <c r="T97" i="10"/>
  <c r="T98" i="10"/>
  <c r="T99" i="10"/>
  <c r="T100" i="10"/>
  <c r="T101" i="10"/>
  <c r="T102" i="10"/>
  <c r="T103" i="10"/>
  <c r="T104" i="10"/>
  <c r="T105" i="10"/>
  <c r="T106" i="10"/>
  <c r="T107" i="10"/>
  <c r="T108" i="10"/>
  <c r="T109" i="10"/>
  <c r="T110" i="10"/>
  <c r="T111" i="10"/>
  <c r="T112" i="10"/>
  <c r="T113" i="10"/>
  <c r="T114" i="10"/>
  <c r="T115" i="10"/>
  <c r="T116" i="10"/>
  <c r="T117" i="10"/>
  <c r="T118" i="10"/>
  <c r="T119" i="10"/>
  <c r="T120" i="10"/>
  <c r="T121" i="10"/>
  <c r="T122" i="10"/>
  <c r="T123" i="10"/>
  <c r="T124" i="10"/>
  <c r="T125" i="10"/>
  <c r="T126" i="10"/>
  <c r="T127" i="10"/>
  <c r="T128" i="10"/>
  <c r="T129" i="10"/>
  <c r="T130" i="10"/>
  <c r="T131" i="10"/>
  <c r="T132" i="10"/>
  <c r="T133" i="10"/>
  <c r="T134" i="10"/>
  <c r="T135" i="10"/>
  <c r="T136" i="10"/>
  <c r="T137" i="10"/>
  <c r="T138" i="10"/>
  <c r="T139" i="10"/>
  <c r="T140" i="10"/>
  <c r="T141" i="10"/>
  <c r="T142" i="10"/>
  <c r="T143" i="10"/>
  <c r="T144" i="10"/>
  <c r="T145" i="10"/>
  <c r="T146" i="10"/>
  <c r="T147" i="10"/>
  <c r="T148" i="10"/>
  <c r="T149" i="10"/>
  <c r="T150" i="10"/>
  <c r="T151" i="10"/>
  <c r="T152" i="10"/>
  <c r="T153" i="10"/>
  <c r="T154" i="10"/>
  <c r="T156" i="10"/>
  <c r="T157" i="10"/>
  <c r="T158" i="10"/>
  <c r="T159" i="10"/>
  <c r="T160" i="10"/>
  <c r="T161" i="10"/>
  <c r="T162" i="10"/>
  <c r="T163" i="10"/>
  <c r="T164" i="10"/>
  <c r="T165" i="10"/>
  <c r="T166" i="10"/>
  <c r="T167" i="10"/>
  <c r="T168" i="10"/>
  <c r="T169" i="10"/>
  <c r="T170" i="10"/>
  <c r="T171" i="10"/>
  <c r="T172" i="10"/>
  <c r="T173" i="10"/>
  <c r="T174" i="10"/>
  <c r="T175" i="10"/>
  <c r="T176" i="10"/>
  <c r="T177" i="10"/>
  <c r="T178" i="10"/>
  <c r="T179" i="10"/>
  <c r="T180" i="10"/>
  <c r="T181" i="10"/>
  <c r="T182" i="10"/>
  <c r="T183" i="10"/>
  <c r="T184" i="10"/>
  <c r="T185" i="10"/>
  <c r="F194" i="11" l="1"/>
  <c r="J187" i="10"/>
  <c r="J142" i="11"/>
  <c r="V13" i="10"/>
  <c r="J24" i="11"/>
  <c r="J16" i="11"/>
  <c r="J64" i="11"/>
  <c r="J56" i="11"/>
  <c r="J48" i="11"/>
  <c r="J40" i="11"/>
  <c r="J32" i="11"/>
  <c r="J7" i="11"/>
  <c r="J23" i="11"/>
  <c r="J15" i="11"/>
  <c r="J31" i="11"/>
  <c r="J8" i="11"/>
  <c r="T13" i="10"/>
  <c r="J14" i="11"/>
  <c r="J63" i="11"/>
  <c r="J55" i="11"/>
  <c r="J47" i="11"/>
  <c r="J39" i="11"/>
  <c r="J79" i="11"/>
  <c r="J71" i="11"/>
  <c r="J135" i="11"/>
  <c r="J127" i="11"/>
  <c r="J119" i="11"/>
  <c r="J111" i="11"/>
  <c r="J103" i="11"/>
  <c r="J95" i="11"/>
  <c r="J87" i="11"/>
  <c r="J137" i="11"/>
  <c r="J129" i="11"/>
  <c r="J121" i="11"/>
  <c r="J113" i="11"/>
  <c r="J105" i="11"/>
  <c r="J97" i="11"/>
  <c r="J89" i="11"/>
  <c r="J167" i="11"/>
  <c r="J151" i="11"/>
  <c r="J183" i="11"/>
  <c r="J175" i="11"/>
  <c r="J159" i="11"/>
  <c r="J82" i="11"/>
  <c r="J74" i="11"/>
  <c r="J66" i="11"/>
  <c r="J57" i="11"/>
  <c r="J49" i="11"/>
  <c r="J41" i="11"/>
  <c r="J33" i="11"/>
  <c r="J81" i="11"/>
  <c r="J73" i="11"/>
  <c r="J153" i="11"/>
  <c r="J145" i="11"/>
  <c r="J185" i="11"/>
  <c r="J177" i="11"/>
  <c r="J169" i="11"/>
  <c r="J161" i="11"/>
  <c r="J25" i="11"/>
  <c r="J17" i="11"/>
  <c r="J9" i="11"/>
  <c r="J80" i="11"/>
  <c r="J72" i="11"/>
  <c r="J136" i="11"/>
  <c r="J128" i="11"/>
  <c r="J120" i="11"/>
  <c r="J112" i="11"/>
  <c r="J104" i="11"/>
  <c r="J96" i="11"/>
  <c r="J88" i="11"/>
  <c r="J152" i="11"/>
  <c r="J144" i="11"/>
  <c r="J184" i="11"/>
  <c r="J176" i="11"/>
  <c r="J160" i="11"/>
  <c r="J168" i="11"/>
  <c r="J130" i="11"/>
  <c r="J122" i="11"/>
  <c r="J114" i="11"/>
  <c r="J106" i="11"/>
  <c r="J98" i="11"/>
  <c r="J90" i="11"/>
  <c r="J154" i="11"/>
  <c r="J146" i="11"/>
  <c r="J186" i="11"/>
  <c r="J178" i="11"/>
  <c r="J170" i="11"/>
  <c r="J162" i="11"/>
  <c r="J18" i="11"/>
  <c r="J10" i="11"/>
  <c r="J58" i="11"/>
  <c r="J50" i="11"/>
  <c r="J42" i="11"/>
  <c r="J34" i="11"/>
  <c r="J76" i="11"/>
  <c r="J68" i="11"/>
  <c r="J131" i="11"/>
  <c r="J123" i="11"/>
  <c r="J115" i="11"/>
  <c r="J107" i="11"/>
  <c r="J99" i="11"/>
  <c r="J91" i="11"/>
  <c r="J133" i="11"/>
  <c r="J125" i="11"/>
  <c r="J117" i="11"/>
  <c r="J109" i="11"/>
  <c r="J101" i="11"/>
  <c r="J93" i="11"/>
  <c r="J85" i="11"/>
  <c r="J59" i="11"/>
  <c r="J51" i="11"/>
  <c r="J43" i="11"/>
  <c r="J35" i="11"/>
  <c r="J27" i="11"/>
  <c r="J83" i="11"/>
  <c r="J75" i="11"/>
  <c r="J67" i="11"/>
  <c r="J155" i="11"/>
  <c r="J147" i="11"/>
  <c r="J179" i="11"/>
  <c r="J171" i="11"/>
  <c r="J163" i="11"/>
  <c r="J19" i="11"/>
  <c r="J11" i="11"/>
  <c r="J149" i="11"/>
  <c r="J181" i="11"/>
  <c r="J173" i="11"/>
  <c r="J165" i="11"/>
  <c r="J21" i="11"/>
  <c r="J13" i="11"/>
  <c r="J61" i="11"/>
  <c r="J53" i="11"/>
  <c r="J45" i="11"/>
  <c r="J37" i="11"/>
  <c r="J29" i="11"/>
  <c r="J77" i="11"/>
  <c r="J69" i="11"/>
  <c r="J132" i="11"/>
  <c r="J124" i="11"/>
  <c r="J116" i="11"/>
  <c r="J108" i="11"/>
  <c r="J100" i="11"/>
  <c r="J92" i="11"/>
  <c r="J156" i="11"/>
  <c r="J148" i="11"/>
  <c r="J180" i="11"/>
  <c r="J172" i="11"/>
  <c r="J164" i="11"/>
  <c r="J20" i="11"/>
  <c r="J60" i="11"/>
  <c r="J52" i="11"/>
  <c r="J44" i="11"/>
  <c r="J36" i="11"/>
  <c r="J28" i="11"/>
  <c r="J150" i="11"/>
  <c r="J182" i="11"/>
  <c r="J174" i="11"/>
  <c r="J166" i="11"/>
  <c r="J158" i="11"/>
  <c r="J22" i="11"/>
  <c r="J62" i="11"/>
  <c r="J54" i="11"/>
  <c r="J46" i="11"/>
  <c r="J38" i="11"/>
  <c r="J30" i="11"/>
  <c r="J78" i="11"/>
  <c r="J70" i="11"/>
  <c r="J134" i="11"/>
  <c r="J126" i="11"/>
  <c r="J118" i="11"/>
  <c r="J110" i="11"/>
  <c r="J102" i="11"/>
  <c r="J94" i="11"/>
  <c r="J86" i="11"/>
  <c r="K113" i="1"/>
  <c r="H113" i="1"/>
  <c r="V111" i="1"/>
  <c r="V110" i="1"/>
  <c r="V109"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L66" i="1"/>
  <c r="J66" i="1"/>
  <c r="V65" i="1"/>
  <c r="V64" i="1"/>
  <c r="V63" i="1"/>
  <c r="V62" i="1"/>
  <c r="V61" i="1"/>
  <c r="V60" i="1"/>
  <c r="V59" i="1"/>
  <c r="V58" i="1"/>
  <c r="V57" i="1"/>
  <c r="V56" i="1"/>
  <c r="V55" i="1"/>
  <c r="V54" i="1"/>
  <c r="V53" i="1"/>
  <c r="V52" i="1"/>
  <c r="V51" i="1"/>
  <c r="V50" i="1"/>
  <c r="V49" i="1"/>
  <c r="V48" i="1"/>
  <c r="V47" i="1"/>
  <c r="V46" i="1"/>
  <c r="V45" i="1"/>
  <c r="V44" i="1"/>
  <c r="V40" i="1"/>
  <c r="V39" i="1"/>
  <c r="V38" i="1"/>
  <c r="V37" i="1"/>
  <c r="V36" i="1"/>
  <c r="V35" i="1"/>
  <c r="V34" i="1"/>
  <c r="V33" i="1"/>
  <c r="V32" i="1"/>
  <c r="V31" i="1"/>
  <c r="V30" i="1"/>
  <c r="V29" i="1"/>
  <c r="V28" i="1"/>
  <c r="V27" i="1"/>
  <c r="V26" i="1"/>
  <c r="V25" i="1"/>
  <c r="M24" i="1"/>
  <c r="M113" i="1" s="1"/>
  <c r="L24" i="1"/>
  <c r="V23" i="1"/>
  <c r="V22" i="1"/>
  <c r="V21" i="1"/>
  <c r="V20" i="1"/>
  <c r="V19" i="1"/>
  <c r="V18" i="1"/>
  <c r="V17" i="1"/>
  <c r="V16" i="1"/>
  <c r="V15" i="1"/>
  <c r="V14" i="1"/>
  <c r="V13" i="1"/>
  <c r="V12" i="1"/>
  <c r="V11" i="1"/>
  <c r="J10" i="1"/>
  <c r="V9" i="1"/>
  <c r="V8" i="1"/>
  <c r="V7" i="1"/>
  <c r="V5" i="1"/>
  <c r="V66" i="1" l="1"/>
  <c r="C194" i="11"/>
  <c r="I194" i="11" s="1"/>
  <c r="I198" i="11" s="1"/>
  <c r="H188" i="11"/>
  <c r="J12" i="11"/>
  <c r="I188" i="11"/>
  <c r="J113" i="1"/>
  <c r="P4" i="11"/>
  <c r="J65" i="11"/>
  <c r="J138" i="11"/>
  <c r="J157" i="11"/>
  <c r="J84" i="11"/>
  <c r="V24" i="1"/>
  <c r="J143" i="11"/>
  <c r="V10" i="1"/>
  <c r="V6" i="1"/>
  <c r="L113" i="1"/>
  <c r="I199" i="11" l="1"/>
  <c r="M4" i="11"/>
  <c r="S4" i="11" s="1"/>
  <c r="J26" i="11"/>
  <c r="J188" i="11" s="1"/>
  <c r="H189" i="11" s="1"/>
  <c r="U113" i="1"/>
  <c r="I189" i="11" l="1"/>
</calcChain>
</file>

<file path=xl/sharedStrings.xml><?xml version="1.0" encoding="utf-8"?>
<sst xmlns="http://schemas.openxmlformats.org/spreadsheetml/2006/main" count="4750" uniqueCount="840">
  <si>
    <t>Localité</t>
  </si>
  <si>
    <t>Bamingui-Bangoran</t>
  </si>
  <si>
    <t>CF51</t>
  </si>
  <si>
    <t>Ndélé</t>
  </si>
  <si>
    <t>CF511</t>
  </si>
  <si>
    <t>Dar El Kouti</t>
  </si>
  <si>
    <t>CF5111</t>
  </si>
  <si>
    <t>Ndele</t>
  </si>
  <si>
    <t xml:space="preserve">CITE DE L’AMITIE </t>
  </si>
  <si>
    <t>Gozamar - site IOM reintegration</t>
  </si>
  <si>
    <t>Gozamar Cité de la Paix</t>
  </si>
  <si>
    <t>Ndele - Base MINUSCA</t>
  </si>
  <si>
    <t>MINUSCA</t>
  </si>
  <si>
    <t>Bangui</t>
  </si>
  <si>
    <t>CF71</t>
  </si>
  <si>
    <t>CF711</t>
  </si>
  <si>
    <t>Arrondissement 6</t>
  </si>
  <si>
    <t>Petevo</t>
  </si>
  <si>
    <t>Basse-Kotto</t>
  </si>
  <si>
    <t>CF61</t>
  </si>
  <si>
    <t>Alindao</t>
  </si>
  <si>
    <t>CF612</t>
  </si>
  <si>
    <t>CF6121</t>
  </si>
  <si>
    <t>Voundja Djogo</t>
  </si>
  <si>
    <t>Site Pk3 axe mingala</t>
  </si>
  <si>
    <t>Site AFAPS</t>
  </si>
  <si>
    <t>Quartier Mission</t>
  </si>
  <si>
    <t>Site Catholique</t>
  </si>
  <si>
    <t>Site Elim</t>
  </si>
  <si>
    <t>Nzélété</t>
  </si>
  <si>
    <t>Haute-Kotto</t>
  </si>
  <si>
    <t>CF52</t>
  </si>
  <si>
    <t>Bria</t>
  </si>
  <si>
    <t>CF521</t>
  </si>
  <si>
    <t>Samba-Boungou</t>
  </si>
  <si>
    <t>CF5211</t>
  </si>
  <si>
    <t>Gobolo 2</t>
  </si>
  <si>
    <t>Haut-Mbomou</t>
  </si>
  <si>
    <t>CF63</t>
  </si>
  <si>
    <t>Zémio</t>
  </si>
  <si>
    <t>CF633</t>
  </si>
  <si>
    <t>CF6331</t>
  </si>
  <si>
    <t>Site D</t>
  </si>
  <si>
    <t>Site C</t>
  </si>
  <si>
    <t>Obo</t>
  </si>
  <si>
    <t>CF631</t>
  </si>
  <si>
    <t>CF6311</t>
  </si>
  <si>
    <t>Gougbere</t>
  </si>
  <si>
    <t>Ligoua</t>
  </si>
  <si>
    <t>Nguilinguili</t>
  </si>
  <si>
    <t>Zemio</t>
  </si>
  <si>
    <t>Mboki</t>
  </si>
  <si>
    <t>Ngouli</t>
  </si>
  <si>
    <t>LR Mboki 4</t>
  </si>
  <si>
    <t>Djéma</t>
  </si>
  <si>
    <t>CF634</t>
  </si>
  <si>
    <t>CF6341</t>
  </si>
  <si>
    <t>Kadjima</t>
  </si>
  <si>
    <t>Mbomou</t>
  </si>
  <si>
    <t>CF62</t>
  </si>
  <si>
    <t>Rafai</t>
  </si>
  <si>
    <t>CF624</t>
  </si>
  <si>
    <t>CF6241</t>
  </si>
  <si>
    <t>Bingba 3</t>
  </si>
  <si>
    <t>Site A</t>
  </si>
  <si>
    <t>Dembia</t>
  </si>
  <si>
    <t>DEMBIA</t>
  </si>
  <si>
    <t>Sandou</t>
  </si>
  <si>
    <t xml:space="preserve">Site B </t>
  </si>
  <si>
    <t>Agoumar 3</t>
  </si>
  <si>
    <t>Rafaï - Axe Zemio</t>
  </si>
  <si>
    <t>MADINA</t>
  </si>
  <si>
    <t>Bakouma</t>
  </si>
  <si>
    <t>CF625</t>
  </si>
  <si>
    <t>Perseverance / Badounabi 2</t>
  </si>
  <si>
    <t>Nana-Gribizi</t>
  </si>
  <si>
    <t>CF42</t>
  </si>
  <si>
    <t>Kaga-Bandoro</t>
  </si>
  <si>
    <t>CF421</t>
  </si>
  <si>
    <t>CF4211</t>
  </si>
  <si>
    <t>Kokorota</t>
  </si>
  <si>
    <t>Minusca</t>
  </si>
  <si>
    <t>Grivaï-Pamia</t>
  </si>
  <si>
    <t>CF4214</t>
  </si>
  <si>
    <t>Lazare</t>
  </si>
  <si>
    <t>Lazaret</t>
  </si>
  <si>
    <t>Mbella</t>
  </si>
  <si>
    <t>Bakoute</t>
  </si>
  <si>
    <t>Ecole Bakoute</t>
  </si>
  <si>
    <t>Nana-Outa</t>
  </si>
  <si>
    <t>Ouandago</t>
  </si>
  <si>
    <t>Oro- Djafoun/Ouandago</t>
  </si>
  <si>
    <t>Ngamna</t>
  </si>
  <si>
    <t>Vami 3</t>
  </si>
  <si>
    <t>Vami 1</t>
  </si>
  <si>
    <t>Mbaïndo</t>
  </si>
  <si>
    <t>Ombella M'Poko</t>
  </si>
  <si>
    <t>CF11</t>
  </si>
  <si>
    <t>Bimbo</t>
  </si>
  <si>
    <t>Cite Kodjo</t>
  </si>
  <si>
    <t>Kodjo</t>
  </si>
  <si>
    <t>Sambrola</t>
  </si>
  <si>
    <t>Centre émetteur</t>
  </si>
  <si>
    <t>Ouaka</t>
  </si>
  <si>
    <t>CF43</t>
  </si>
  <si>
    <t>Bakala</t>
  </si>
  <si>
    <t>CF432</t>
  </si>
  <si>
    <t xml:space="preserve">Minusca </t>
  </si>
  <si>
    <t>Bambari</t>
  </si>
  <si>
    <t>CF431</t>
  </si>
  <si>
    <t>CF4311</t>
  </si>
  <si>
    <t>Aviation Ecole</t>
  </si>
  <si>
    <t>Ngougbia</t>
  </si>
  <si>
    <t>Matchika</t>
  </si>
  <si>
    <t>MINUSCA PK 8</t>
  </si>
  <si>
    <t>Danga-Gboudou</t>
  </si>
  <si>
    <t>CF4312</t>
  </si>
  <si>
    <t>Tagbara</t>
  </si>
  <si>
    <t>Maloum</t>
  </si>
  <si>
    <t>Kouango</t>
  </si>
  <si>
    <t>CF434</t>
  </si>
  <si>
    <t>CF4313</t>
  </si>
  <si>
    <t>Ngakobo</t>
  </si>
  <si>
    <t>Cite maitrise (Club)</t>
  </si>
  <si>
    <t>Pladama-Ouaka</t>
  </si>
  <si>
    <t>CF4314</t>
  </si>
  <si>
    <t>Pladama Ouaka</t>
  </si>
  <si>
    <t>PK3</t>
  </si>
  <si>
    <t>Mbagolo</t>
  </si>
  <si>
    <t>Ippy</t>
  </si>
  <si>
    <t>CF435</t>
  </si>
  <si>
    <t>Yetomane</t>
  </si>
  <si>
    <t>Foulbe</t>
  </si>
  <si>
    <t>Bougoyo</t>
  </si>
  <si>
    <t>Ouham</t>
  </si>
  <si>
    <t>CF32</t>
  </si>
  <si>
    <t>Batangafo</t>
  </si>
  <si>
    <t>Ecole Bagga</t>
  </si>
  <si>
    <t>Alternatif</t>
  </si>
  <si>
    <t>Zibo Bagga</t>
  </si>
  <si>
    <t>Kabo</t>
  </si>
  <si>
    <t>Sido</t>
  </si>
  <si>
    <t>Moyenne Sido</t>
  </si>
  <si>
    <t>Cite de la Paix</t>
  </si>
  <si>
    <t>Site B</t>
  </si>
  <si>
    <t>Site C  (cite de la paix)</t>
  </si>
  <si>
    <t>Ouaki</t>
  </si>
  <si>
    <t>Farazala</t>
  </si>
  <si>
    <t>Farazala A</t>
  </si>
  <si>
    <t>Farazala 1</t>
  </si>
  <si>
    <t>Farazala B</t>
  </si>
  <si>
    <t>Bongonon</t>
  </si>
  <si>
    <t>Ouassi</t>
  </si>
  <si>
    <t>Gbazara</t>
  </si>
  <si>
    <t>Gbazara A</t>
  </si>
  <si>
    <t>Gbazara B</t>
  </si>
  <si>
    <t>Bouca</t>
  </si>
  <si>
    <t>Bouca Bobo</t>
  </si>
  <si>
    <t>Bouca Centre</t>
  </si>
  <si>
    <t>Site Bouca</t>
  </si>
  <si>
    <t>Dihiri</t>
  </si>
  <si>
    <t>Dihiri 2</t>
  </si>
  <si>
    <t>Maison des jeunes</t>
  </si>
  <si>
    <t>Site MINUSCA</t>
  </si>
  <si>
    <t>Axe Batangafo-Ouandago-Kabo</t>
  </si>
  <si>
    <t>Lega</t>
  </si>
  <si>
    <t>Lady Gbawi</t>
  </si>
  <si>
    <t>Gbakaya</t>
  </si>
  <si>
    <t>Botombo</t>
  </si>
  <si>
    <t>Gbigbi</t>
  </si>
  <si>
    <t>Gbawi B</t>
  </si>
  <si>
    <t>Lady A</t>
  </si>
  <si>
    <t>Lady B</t>
  </si>
  <si>
    <t>Zoui</t>
  </si>
  <si>
    <t>Bouca centre</t>
  </si>
  <si>
    <t>Mission Catholique</t>
  </si>
  <si>
    <t>Bouca Maraze</t>
  </si>
  <si>
    <t>Kozoro 1</t>
  </si>
  <si>
    <t xml:space="preserve"> Bouca Maraze</t>
  </si>
  <si>
    <t>Kawa</t>
  </si>
  <si>
    <t>Bossangoa</t>
  </si>
  <si>
    <t>CF321</t>
  </si>
  <si>
    <t>CF3211</t>
  </si>
  <si>
    <t>Hopital de District</t>
  </si>
  <si>
    <t>Ouham Pendé</t>
  </si>
  <si>
    <t>CF31</t>
  </si>
  <si>
    <t>Bocaranga</t>
  </si>
  <si>
    <t>CF312</t>
  </si>
  <si>
    <t>Vakaga</t>
  </si>
  <si>
    <t>CF53</t>
  </si>
  <si>
    <t>Birao</t>
  </si>
  <si>
    <t>CF531</t>
  </si>
  <si>
    <t>Site YATA</t>
  </si>
  <si>
    <t>Site Chinois</t>
  </si>
  <si>
    <t>Site Aerodrome</t>
  </si>
  <si>
    <t>Evolution</t>
  </si>
  <si>
    <t>Commentaires</t>
  </si>
  <si>
    <t>DTM IOM</t>
  </si>
  <si>
    <t>PARET</t>
  </si>
  <si>
    <t>COOPI</t>
  </si>
  <si>
    <t>INTERSOS</t>
  </si>
  <si>
    <t>COOPADEM</t>
  </si>
  <si>
    <t>OIM</t>
  </si>
  <si>
    <t>MSF</t>
  </si>
  <si>
    <t>Nom_Site</t>
  </si>
  <si>
    <t>konvi 1</t>
  </si>
  <si>
    <t>CF4351</t>
  </si>
  <si>
    <t>CF3121</t>
  </si>
  <si>
    <t>Pk3 (Bria)</t>
  </si>
  <si>
    <t>Site Cebi 3</t>
  </si>
  <si>
    <t>Site Eglise catholique (Bria)</t>
  </si>
  <si>
    <t>Site Cebi 1</t>
  </si>
  <si>
    <t>Site Mboki Espoir</t>
  </si>
  <si>
    <t>Cité Landja 2</t>
  </si>
  <si>
    <t>Atib</t>
  </si>
  <si>
    <t>Mission Catolique</t>
  </si>
  <si>
    <t>Type</t>
  </si>
  <si>
    <t>Frameau</t>
  </si>
  <si>
    <t>PARC 2</t>
  </si>
  <si>
    <t>Site</t>
  </si>
  <si>
    <t>Lieu de regroupement</t>
  </si>
  <si>
    <t>Novembre 2023</t>
  </si>
  <si>
    <t>Site fermé</t>
  </si>
  <si>
    <t>Janvier 2024</t>
  </si>
  <si>
    <t>A2</t>
  </si>
  <si>
    <t>FNHOD</t>
  </si>
  <si>
    <t>Lapago</t>
  </si>
  <si>
    <t>Mars 2024</t>
  </si>
  <si>
    <t>GBADE</t>
  </si>
  <si>
    <t>Profilage et évaluation multisectorielle des besoins dans les sites des PDIs de Bakouma</t>
  </si>
  <si>
    <t>Mise à jour</t>
  </si>
  <si>
    <t>Sources de Données</t>
  </si>
  <si>
    <t>Date de la dernière mise à jour</t>
  </si>
  <si>
    <t>Différence</t>
  </si>
  <si>
    <t>Avril 2024</t>
  </si>
  <si>
    <t>Le retour volontaire se justifie par l’amélioration du climat sécuritaire dans les lieux d'origine, à cause de la présence des forces loyalistes qui assurent la protection physique des personnes et des biens, la reprise des AGRs pour aboutir à une vie meilleure.</t>
  </si>
  <si>
    <t>Les personnes retournées dans les lieux d'origine</t>
  </si>
  <si>
    <t>Les PDI ont quitté le site pour aller en famille d'acceuil</t>
  </si>
  <si>
    <t>PDI retournés dans leurs localités d'origine</t>
  </si>
  <si>
    <t>L'amélioration de la sécurité dans les lieux d'origine reste l’une des causes principales de de retour.</t>
  </si>
  <si>
    <t>STATISTIQUES DETAILLEES DES PDI SUR SITES EN RCA</t>
  </si>
  <si>
    <t>Nouveaux PDI/Retournés</t>
  </si>
  <si>
    <t>Update</t>
  </si>
  <si>
    <t>Non</t>
  </si>
  <si>
    <t>Oui</t>
  </si>
  <si>
    <t>STATISTIQUES DETAILLEES DES PDI EN FAMILLES D'ACCUEIL EN RCA</t>
  </si>
  <si>
    <t>Kémo</t>
  </si>
  <si>
    <t>Lobaye</t>
  </si>
  <si>
    <t>Mambéré-Kadéï</t>
  </si>
  <si>
    <t>Nana-Mambéré</t>
  </si>
  <si>
    <t>Sangha-Mbaéré</t>
  </si>
  <si>
    <t>Markounda</t>
  </si>
  <si>
    <t>Bossemtélé</t>
  </si>
  <si>
    <t>Bozoum</t>
  </si>
  <si>
    <t>Bamingui</t>
  </si>
  <si>
    <t>Kembé</t>
  </si>
  <si>
    <t>Mobaye</t>
  </si>
  <si>
    <t>Mingala</t>
  </si>
  <si>
    <t>Satéma</t>
  </si>
  <si>
    <t>Zangba</t>
  </si>
  <si>
    <t>Bambouti</t>
  </si>
  <si>
    <t>Ouadda</t>
  </si>
  <si>
    <t>Yalinga</t>
  </si>
  <si>
    <t>Dékoa</t>
  </si>
  <si>
    <t>Mala</t>
  </si>
  <si>
    <t>Ndjoukou</t>
  </si>
  <si>
    <t>Sibut</t>
  </si>
  <si>
    <t>Boda</t>
  </si>
  <si>
    <t>Boganangone</t>
  </si>
  <si>
    <t>Boganda</t>
  </si>
  <si>
    <t>Mbaïki</t>
  </si>
  <si>
    <t>Mongoumba</t>
  </si>
  <si>
    <t>Amada-Gaza</t>
  </si>
  <si>
    <t>Berbérati</t>
  </si>
  <si>
    <t>Carnot</t>
  </si>
  <si>
    <t>Dédé-Mokouba</t>
  </si>
  <si>
    <t>Gadzi</t>
  </si>
  <si>
    <t>Gamboula</t>
  </si>
  <si>
    <t>Sosso-Nakombo</t>
  </si>
  <si>
    <t>Bangassou</t>
  </si>
  <si>
    <t>Gambo</t>
  </si>
  <si>
    <t>Ouango</t>
  </si>
  <si>
    <t>Mbrès</t>
  </si>
  <si>
    <t>Abba</t>
  </si>
  <si>
    <t>Bouar</t>
  </si>
  <si>
    <t>Baboua</t>
  </si>
  <si>
    <t>Baoro</t>
  </si>
  <si>
    <t>Boali</t>
  </si>
  <si>
    <t>Bogangolo</t>
  </si>
  <si>
    <t>Bossembélé</t>
  </si>
  <si>
    <t>Damara</t>
  </si>
  <si>
    <t>Yaloké</t>
  </si>
  <si>
    <t>Grimari</t>
  </si>
  <si>
    <t>Nana-Bakassa</t>
  </si>
  <si>
    <t>Nangha Boguila</t>
  </si>
  <si>
    <t>Koui</t>
  </si>
  <si>
    <t>Ngaoundaye</t>
  </si>
  <si>
    <t>Paoua</t>
  </si>
  <si>
    <t>Bambio</t>
  </si>
  <si>
    <t>Bayanga</t>
  </si>
  <si>
    <t>Nola</t>
  </si>
  <si>
    <t>Ouanda-Djallé</t>
  </si>
  <si>
    <t>Nana Markounda</t>
  </si>
  <si>
    <t>Binon</t>
  </si>
  <si>
    <t>Mbolo-Pata</t>
  </si>
  <si>
    <t>Vassako</t>
  </si>
  <si>
    <t>Arrondissement 1</t>
  </si>
  <si>
    <t>Arrondissement 2</t>
  </si>
  <si>
    <t>Arrondissement 3</t>
  </si>
  <si>
    <t>Arrondissement 4</t>
  </si>
  <si>
    <t>Arrondissement 5</t>
  </si>
  <si>
    <t>Arrondissement 7</t>
  </si>
  <si>
    <t>Arrondissement 8</t>
  </si>
  <si>
    <t>Bakou</t>
  </si>
  <si>
    <t>Guiligui</t>
  </si>
  <si>
    <t>Yambélé-Ewou</t>
  </si>
  <si>
    <t>Bangui-Ketté</t>
  </si>
  <si>
    <t>Mboui</t>
  </si>
  <si>
    <t>Mbéima</t>
  </si>
  <si>
    <t>Kotto</t>
  </si>
  <si>
    <t>Kotto-Oubangui</t>
  </si>
  <si>
    <t>Yabongo</t>
  </si>
  <si>
    <t>Ouambé</t>
  </si>
  <si>
    <t>Lili</t>
  </si>
  <si>
    <t>Daho-Mboutou</t>
  </si>
  <si>
    <t>Daba Nydou</t>
  </si>
  <si>
    <t>Ouandja Kotto</t>
  </si>
  <si>
    <t>Dekoa</t>
  </si>
  <si>
    <t>Tilo</t>
  </si>
  <si>
    <t>Guiffa</t>
  </si>
  <si>
    <t>Galabadja</t>
  </si>
  <si>
    <t>Galafondo</t>
  </si>
  <si>
    <t>Ngoumbele</t>
  </si>
  <si>
    <t>Mbaiki</t>
  </si>
  <si>
    <t>Balé-Loko</t>
  </si>
  <si>
    <t>Pissa</t>
  </si>
  <si>
    <t>Basse-Batouri</t>
  </si>
  <si>
    <t>Basse-Mambéré</t>
  </si>
  <si>
    <t>Haute-Batouri</t>
  </si>
  <si>
    <t>Ouakanga</t>
  </si>
  <si>
    <t>Haute-Kadéi</t>
  </si>
  <si>
    <t>Topia</t>
  </si>
  <si>
    <t>Mbali</t>
  </si>
  <si>
    <t>Sayo Niakari</t>
  </si>
  <si>
    <t>Voungba-Balifondo</t>
  </si>
  <si>
    <t>Zangandou</t>
  </si>
  <si>
    <t>Ngandou</t>
  </si>
  <si>
    <t>Ngbandinga</t>
  </si>
  <si>
    <t>Botto</t>
  </si>
  <si>
    <t>Ndenga</t>
  </si>
  <si>
    <t>Mbrés</t>
  </si>
  <si>
    <t>Béa-Nana</t>
  </si>
  <si>
    <t>Bingué</t>
  </si>
  <si>
    <t>Koundé</t>
  </si>
  <si>
    <t>Fo</t>
  </si>
  <si>
    <t>Yoro-Samba Bougoulou</t>
  </si>
  <si>
    <t>Bawi Tédoa</t>
  </si>
  <si>
    <t>Doaka-Koursou</t>
  </si>
  <si>
    <t>Yénga</t>
  </si>
  <si>
    <t>Niem-Yelewa</t>
  </si>
  <si>
    <t>Herman-Brousse</t>
  </si>
  <si>
    <t>La Mbi</t>
  </si>
  <si>
    <t>Guézéli</t>
  </si>
  <si>
    <t>Koudou-Bégo</t>
  </si>
  <si>
    <t>Yéngou</t>
  </si>
  <si>
    <t>Baïdou-Ngoumbourou</t>
  </si>
  <si>
    <t>Azéngué-Mindou</t>
  </si>
  <si>
    <t>Cochio-Toulou</t>
  </si>
  <si>
    <t>Haute Baïdou</t>
  </si>
  <si>
    <t>Bakassa</t>
  </si>
  <si>
    <t>Hama</t>
  </si>
  <si>
    <t>Bédé</t>
  </si>
  <si>
    <t>Ndoro Mboli</t>
  </si>
  <si>
    <t>Soumbé</t>
  </si>
  <si>
    <t>Ouham Bac</t>
  </si>
  <si>
    <t>Koro-M'poko</t>
  </si>
  <si>
    <t>Ben Zambé</t>
  </si>
  <si>
    <t>Fafa Boungou</t>
  </si>
  <si>
    <t>Ouham Fafa</t>
  </si>
  <si>
    <t>Péndé</t>
  </si>
  <si>
    <t>Loura</t>
  </si>
  <si>
    <t>Danayéré</t>
  </si>
  <si>
    <t>Dilouki</t>
  </si>
  <si>
    <t>Yémé</t>
  </si>
  <si>
    <t>Kodi</t>
  </si>
  <si>
    <t>Lim</t>
  </si>
  <si>
    <t>Bah-Bessar</t>
  </si>
  <si>
    <t>Nana-Barya</t>
  </si>
  <si>
    <t>Malé</t>
  </si>
  <si>
    <t>Mom</t>
  </si>
  <si>
    <t>Mia-Péndé</t>
  </si>
  <si>
    <t>Kouazo</t>
  </si>
  <si>
    <t>Bimbi</t>
  </si>
  <si>
    <t>Bilolo</t>
  </si>
  <si>
    <t>Salo</t>
  </si>
  <si>
    <t>Ridina</t>
  </si>
  <si>
    <t>Ouandja</t>
  </si>
  <si>
    <t>Vokouma</t>
  </si>
  <si>
    <t>CF41</t>
  </si>
  <si>
    <t>CF12</t>
  </si>
  <si>
    <t>CF21</t>
  </si>
  <si>
    <t>CF22</t>
  </si>
  <si>
    <t>CF23</t>
  </si>
  <si>
    <t>CF323</t>
  </si>
  <si>
    <t>CF316</t>
  </si>
  <si>
    <t>CF311</t>
  </si>
  <si>
    <t>CF512</t>
  </si>
  <si>
    <t>CF613</t>
  </si>
  <si>
    <t>CF611</t>
  </si>
  <si>
    <t>CF614</t>
  </si>
  <si>
    <t>CF616</t>
  </si>
  <si>
    <t>CF615</t>
  </si>
  <si>
    <t>CF632</t>
  </si>
  <si>
    <t>CF522</t>
  </si>
  <si>
    <t>CF523</t>
  </si>
  <si>
    <t>CF412</t>
  </si>
  <si>
    <t>CF413</t>
  </si>
  <si>
    <t>CF414</t>
  </si>
  <si>
    <t>CF411</t>
  </si>
  <si>
    <t>CF123</t>
  </si>
  <si>
    <t>CF124</t>
  </si>
  <si>
    <t>CF125</t>
  </si>
  <si>
    <t>CF121</t>
  </si>
  <si>
    <t>CF122</t>
  </si>
  <si>
    <t>CF211</t>
  </si>
  <si>
    <t>CF216</t>
  </si>
  <si>
    <t>CF212</t>
  </si>
  <si>
    <t>CF215</t>
  </si>
  <si>
    <t>CF621</t>
  </si>
  <si>
    <t>CF623</t>
  </si>
  <si>
    <t>CF622</t>
  </si>
  <si>
    <t>CF422</t>
  </si>
  <si>
    <t>CF224</t>
  </si>
  <si>
    <t>CF221</t>
  </si>
  <si>
    <t>CF223</t>
  </si>
  <si>
    <t>CF222</t>
  </si>
  <si>
    <t>CF114</t>
  </si>
  <si>
    <t>CF113</t>
  </si>
  <si>
    <t>CF115</t>
  </si>
  <si>
    <t>CF112</t>
  </si>
  <si>
    <t>CF116</t>
  </si>
  <si>
    <t>CF433</t>
  </si>
  <si>
    <t>CF322</t>
  </si>
  <si>
    <t>CF324</t>
  </si>
  <si>
    <t>CF313</t>
  </si>
  <si>
    <t>CF232</t>
  </si>
  <si>
    <t>CF233</t>
  </si>
  <si>
    <t>CF231</t>
  </si>
  <si>
    <t>CF532</t>
  </si>
  <si>
    <t>CF3231</t>
  </si>
  <si>
    <t>CF3161</t>
  </si>
  <si>
    <t>CF3111</t>
  </si>
  <si>
    <t>CF5112</t>
  </si>
  <si>
    <t>CF5121</t>
  </si>
  <si>
    <t>CF7113</t>
  </si>
  <si>
    <t>CF7115</t>
  </si>
  <si>
    <t>CF6124</t>
  </si>
  <si>
    <t>CF6122</t>
  </si>
  <si>
    <t>CF6125</t>
  </si>
  <si>
    <t>CF6123</t>
  </si>
  <si>
    <t>CF6131</t>
  </si>
  <si>
    <t>CF6132</t>
  </si>
  <si>
    <t>CF6111</t>
  </si>
  <si>
    <t>CF6112</t>
  </si>
  <si>
    <t>CF6142</t>
  </si>
  <si>
    <t>CF6161</t>
  </si>
  <si>
    <t>CF6152</t>
  </si>
  <si>
    <t>CF6151</t>
  </si>
  <si>
    <t>CF6321</t>
  </si>
  <si>
    <t>CF5213</t>
  </si>
  <si>
    <t>CF5212</t>
  </si>
  <si>
    <t>CF5221</t>
  </si>
  <si>
    <t>CF5231</t>
  </si>
  <si>
    <t>CF4121</t>
  </si>
  <si>
    <t>CF4122</t>
  </si>
  <si>
    <t>CF4123</t>
  </si>
  <si>
    <t>CF4131</t>
  </si>
  <si>
    <t>CF4142</t>
  </si>
  <si>
    <t>CF4141</t>
  </si>
  <si>
    <t>CF4112</t>
  </si>
  <si>
    <t>CF4111</t>
  </si>
  <si>
    <t>CF1232</t>
  </si>
  <si>
    <t>CF1241</t>
  </si>
  <si>
    <t>CF1251</t>
  </si>
  <si>
    <t>CF1211</t>
  </si>
  <si>
    <t>CF1218</t>
  </si>
  <si>
    <t>CF1216</t>
  </si>
  <si>
    <t>CF1213</t>
  </si>
  <si>
    <t>CF1221</t>
  </si>
  <si>
    <t>CF2115</t>
  </si>
  <si>
    <t>CF2114</t>
  </si>
  <si>
    <t>CF2112</t>
  </si>
  <si>
    <t>CF2113</t>
  </si>
  <si>
    <t>CF2161</t>
  </si>
  <si>
    <t>CF6251</t>
  </si>
  <si>
    <t>CF6211</t>
  </si>
  <si>
    <t>CF6212</t>
  </si>
  <si>
    <t>CF6213</t>
  </si>
  <si>
    <t>CF6214</t>
  </si>
  <si>
    <t>CF6231</t>
  </si>
  <si>
    <t>CF6232</t>
  </si>
  <si>
    <t>CF6222</t>
  </si>
  <si>
    <t>CF6221</t>
  </si>
  <si>
    <t>CF4212</t>
  </si>
  <si>
    <t>CF4215</t>
  </si>
  <si>
    <t>CF4221</t>
  </si>
  <si>
    <t>CF2241</t>
  </si>
  <si>
    <t>CF2216</t>
  </si>
  <si>
    <t>CF2233</t>
  </si>
  <si>
    <t>CF2231</t>
  </si>
  <si>
    <t>CF2234</t>
  </si>
  <si>
    <t>CF2235</t>
  </si>
  <si>
    <t>CF2222</t>
  </si>
  <si>
    <t>CF2221</t>
  </si>
  <si>
    <t>CF2217</t>
  </si>
  <si>
    <t>CF2215</t>
  </si>
  <si>
    <t>CF2212</t>
  </si>
  <si>
    <t>CF2213</t>
  </si>
  <si>
    <t>CF1141</t>
  </si>
  <si>
    <t>CF1131</t>
  </si>
  <si>
    <t>CF1152</t>
  </si>
  <si>
    <t>CF1151</t>
  </si>
  <si>
    <t>CF1121</t>
  </si>
  <si>
    <t>CF1162</t>
  </si>
  <si>
    <t>CF1161</t>
  </si>
  <si>
    <t>CF4321</t>
  </si>
  <si>
    <t>CF4331</t>
  </si>
  <si>
    <t>CF4352</t>
  </si>
  <si>
    <t>CF4353</t>
  </si>
  <si>
    <t>CF4342</t>
  </si>
  <si>
    <t>CF4341</t>
  </si>
  <si>
    <t>CF4343</t>
  </si>
  <si>
    <t>CF4315</t>
  </si>
  <si>
    <t>CF3216</t>
  </si>
  <si>
    <t>CF3212</t>
  </si>
  <si>
    <t>CF3215</t>
  </si>
  <si>
    <t>CF3213</t>
  </si>
  <si>
    <t>CF3214</t>
  </si>
  <si>
    <t>CF3221</t>
  </si>
  <si>
    <t>CF3241</t>
  </si>
  <si>
    <t>CF3123</t>
  </si>
  <si>
    <t>CF3122</t>
  </si>
  <si>
    <t>CF3115</t>
  </si>
  <si>
    <t>CF3131</t>
  </si>
  <si>
    <t>CF3114</t>
  </si>
  <si>
    <t>CF2312</t>
  </si>
  <si>
    <t>CF2313</t>
  </si>
  <si>
    <t>CF5311</t>
  </si>
  <si>
    <t>CF5321</t>
  </si>
  <si>
    <t>STATISTIQUES DETAILLEES DES PDI EN RCA</t>
  </si>
  <si>
    <t>Nbr Total PDI</t>
  </si>
  <si>
    <t>Nbr PDI Familles Accueil</t>
  </si>
  <si>
    <t>#</t>
  </si>
  <si>
    <t>Fevrier 2024</t>
  </si>
  <si>
    <t xml:space="preserve">DTM IOM </t>
  </si>
  <si>
    <t>Axe Bakouma-Nzabé (GANGOUA)</t>
  </si>
  <si>
    <t>FNOHD</t>
  </si>
  <si>
    <t>Fevrier 2023</t>
  </si>
  <si>
    <t>Banh</t>
  </si>
  <si>
    <t>Juin 2024</t>
  </si>
  <si>
    <t>APVM</t>
  </si>
  <si>
    <t xml:space="preserve">Le retour de ces PDI à leurs domiciles est dû à la stabilité securitaire observée dans leurs localités de provenance à savoir Bakala, Ndachem, Ndara, Mabissi, Gralendji et le site de construction de Mbonou. </t>
  </si>
  <si>
    <t xml:space="preserve">il a été constaté que 09 ménages  pour un effectif de 43 individus,dont 09 hommes , 09 femmes, 12 garçons et 13 filles  ont quitté volontairement  le site pour regagner leurs villages de provenance respectifs à savoir Botéré 1 et 2, Bokambaye et Bogama, afin de rejoindre les membres de leur famille. Ce retour se justifie par l’amélioration du contexte sécuritaire observée dans ces lieux de provenance, l’envie de reprendre les activités champêtres, facteur de résilience et d’autonomisation. Par ailleurs on note les deux (02) cas  de décès des hommes âgés, enregistrés lors de la mise en œuvre de l’activité, de suite d’une longue maladie, mais aucun cas de naissance n’a été identifié.  </t>
  </si>
  <si>
    <t>DIHIRI n'estp plus un site mais plutôt  un ancien site qui est devenu quartier intégré de Batangafo, depuis 2020</t>
  </si>
  <si>
    <t>Bouca/Bantagafo</t>
  </si>
  <si>
    <t>Aout 2024</t>
  </si>
  <si>
    <t>integration locale</t>
  </si>
  <si>
    <t>Les  PDIs du site de la MINUSCA dont la majorité viennent de différent quartiers de Kaga Bandoro centre, Botto, Ouandago, Bangui, Mbrés, Grevai et Bambari sont tous retournés dans leurs lieux de provenance suite a l'appui au retour fait par le HCR et OIM sous financement du FH et BHA. Les abris de ces PDI sont tous démolis</t>
  </si>
  <si>
    <t>D'après le coordo programme de INTERSOS et le sous-cluster de Bambari, les PDI du site de Yetomane  ont tous quitté le site pour regagner un espace octroyé par les autorités locales. Donc le site de Yetomane n'existe plus depuis 2 mois. il faut plutôt compter ces ménages dans les familles d'accueil dans la commune de Ippy et mentionner comme commentaire site fermé suite à la relocalisation des PDI par les autorités locales.</t>
  </si>
  <si>
    <t>Village Argue</t>
  </si>
  <si>
    <t>Site Formel ARGUE</t>
  </si>
  <si>
    <t>Lieu de Regroupement profilé par COOPI. Site Mboki et Site Mboki Espoir : c'est un seul site (Site Mboki)</t>
  </si>
  <si>
    <t xml:space="preserve">(PDI en FA)Lieu de Regroupement profilé par COOPI. </t>
  </si>
  <si>
    <t>DTM 22</t>
  </si>
  <si>
    <t>Bouca centre et Mission catholique cest le meme site qui est compte double dans le fichier</t>
  </si>
  <si>
    <t xml:space="preserve">Rapport disponible 349 ménages de 1792 PDIs qui resident sites Ngakobo ont accès à l'intégration locale definitive sur la parcelle qui leur a été octroyée par le Président de la Délégation Spéciale de la ville de Ngakobo en la date du 28 Juin 2024. A ce jour aucun PDI ne reside sur le site Maitrise Club de Ngakobo. </t>
  </si>
  <si>
    <t>Site feme</t>
  </si>
  <si>
    <t>Octobre 2024</t>
  </si>
  <si>
    <t>Axe Bakouma-Nzacko (ZIMA)</t>
  </si>
  <si>
    <t>Profilage COOPADEM</t>
  </si>
  <si>
    <t>Bangassou-Kwanga (Bakouma-centre)</t>
  </si>
  <si>
    <t>Port petrolier</t>
  </si>
  <si>
    <t>Kolongo/Gbanikola 2</t>
  </si>
  <si>
    <t>Ile des singes</t>
  </si>
  <si>
    <t>Ile Mbongossoua</t>
  </si>
  <si>
    <t>31.12.2024 Individus</t>
  </si>
  <si>
    <t>31.12.2024 Ménages</t>
  </si>
  <si>
    <t>Decembre 2024</t>
  </si>
  <si>
    <t xml:space="preserve"> Le suivi  de mouvement  des données démographique des populations de site Maloum  du mois de Décembre 2024 s'oriente vers le retour. Un constat  de 16 ménages de 65  PDIs retournés dans la zone d'origine de rétour d'Ippy,Boyo,Bambari ,Bangui Zoumako et Galougou</t>
  </si>
  <si>
    <t>31.01.2025 Individus</t>
  </si>
  <si>
    <t>31.01.2025 Ménages</t>
  </si>
  <si>
    <t>Janvier 2025</t>
  </si>
  <si>
    <t xml:space="preserve">La tendance du mouvement de population du site A pour ce mois de Janvier 2025 est en baisse, cette baisse se justifirait par le decès d'une fille suite à une courte maladie. Des cas de naissances et de nouveaux arrivés ne sont pas enregistrés ni documentées durant l'opération d'actualisation de la liste des PDis dudit site. Toute fois, une mise à jour sera effective au mois de Février 2025. </t>
  </si>
  <si>
    <t xml:space="preserve">Pour ce mois en revu, la mise à jour des liste des PDIs de ce site fait état d'une hausse de 03 individus. Cette hausse se justifierait par la naissance de 03 filles. La volonté de retour de ses PDIs dans les lieux d'origine n'est pas effective. Une mise à jour sera faite au mois de Février 2025 pour établir de plus la tendance du mouvement de population. </t>
  </si>
  <si>
    <t>Les activités de l'actualisation des listes des PDIs de ce site fait état d'une hausse de 06 personnes. Cette hausse se justifiérait par la naissance 04 garcons et 02 filles. Des cas de nouveaux arrivés ainsi que de retour volontaires ne sont pas documentés.</t>
  </si>
  <si>
    <t xml:space="preserve">La mise à jour de liste des PDI de ce site fait état de hausse de 02 individus. Cette hausse ce justifierait par la naissance de 02 garcons. </t>
  </si>
  <si>
    <t xml:space="preserve">Données de suivi de mobilité pour le cycle 23 (Mobility Tracking Round 23) </t>
  </si>
  <si>
    <t>Ouham-Fafa</t>
  </si>
  <si>
    <t>CF33</t>
  </si>
  <si>
    <t>Bangui-Fleuve</t>
  </si>
  <si>
    <t>CF713</t>
  </si>
  <si>
    <t>CF331</t>
  </si>
  <si>
    <t>CF332</t>
  </si>
  <si>
    <t>CF333</t>
  </si>
  <si>
    <t>Lim-pendé</t>
  </si>
  <si>
    <t>CF34</t>
  </si>
  <si>
    <t>Mambéré</t>
  </si>
  <si>
    <t>CF24</t>
  </si>
  <si>
    <t>Bangui-Centre</t>
  </si>
  <si>
    <t>CF242</t>
  </si>
  <si>
    <t>CF241</t>
  </si>
  <si>
    <t>CF243</t>
  </si>
  <si>
    <t>CF341</t>
  </si>
  <si>
    <t>CF342</t>
  </si>
  <si>
    <t>CF344</t>
  </si>
  <si>
    <t>CF7136</t>
  </si>
  <si>
    <t>CF7132</t>
  </si>
  <si>
    <t>CF3322</t>
  </si>
  <si>
    <t>CF6351</t>
  </si>
  <si>
    <t>CF7133</t>
  </si>
  <si>
    <t>CF3311</t>
  </si>
  <si>
    <t>CF3331</t>
  </si>
  <si>
    <t>CF3341</t>
  </si>
  <si>
    <t>CF3332</t>
  </si>
  <si>
    <t>CF3314</t>
  </si>
  <si>
    <t>CF3321</t>
  </si>
  <si>
    <t>CF2121</t>
  </si>
  <si>
    <t>CF2151</t>
  </si>
  <si>
    <t>CF2321</t>
  </si>
  <si>
    <t>CF2331</t>
  </si>
  <si>
    <t>Haute-Boumbé</t>
  </si>
  <si>
    <t>Basse-Boumné</t>
  </si>
  <si>
    <t>Basse-Kadéi</t>
  </si>
  <si>
    <t>Mbaéré</t>
  </si>
  <si>
    <t>Yobé-Sangha</t>
  </si>
  <si>
    <t>CF7141</t>
  </si>
  <si>
    <t>CF7124</t>
  </si>
  <si>
    <t>CF7147</t>
  </si>
  <si>
    <t>CF7128</t>
  </si>
  <si>
    <t>CF5241</t>
  </si>
  <si>
    <t>CF2421</t>
  </si>
  <si>
    <t>CF2111</t>
  </si>
  <si>
    <t>CF2411</t>
  </si>
  <si>
    <t>CF2431</t>
  </si>
  <si>
    <t>CF2432</t>
  </si>
  <si>
    <t>CF4231</t>
  </si>
  <si>
    <t>CF3315</t>
  </si>
  <si>
    <t>CF3313</t>
  </si>
  <si>
    <t>CF3312</t>
  </si>
  <si>
    <t>CF3334</t>
  </si>
  <si>
    <t>CF3333</t>
  </si>
  <si>
    <t>CF3415</t>
  </si>
  <si>
    <t>CF3431</t>
  </si>
  <si>
    <t>CF3432</t>
  </si>
  <si>
    <t>CF3441</t>
  </si>
  <si>
    <t>CF3421</t>
  </si>
  <si>
    <t>CF3411</t>
  </si>
  <si>
    <t>CF3412</t>
  </si>
  <si>
    <t>CF3414</t>
  </si>
  <si>
    <t>CF3452</t>
  </si>
  <si>
    <t>CF3451</t>
  </si>
  <si>
    <t>CF3413</t>
  </si>
  <si>
    <t>CF3453</t>
  </si>
  <si>
    <t>CF5331</t>
  </si>
  <si>
    <t>Bangui-Rapide</t>
  </si>
  <si>
    <t>CF714</t>
  </si>
  <si>
    <t>Bangui-Kagas</t>
  </si>
  <si>
    <t>CF712</t>
  </si>
  <si>
    <t>CF534</t>
  </si>
  <si>
    <t>Amdafock</t>
  </si>
  <si>
    <t>CF345</t>
  </si>
  <si>
    <t>Taley</t>
  </si>
  <si>
    <t>CF343</t>
  </si>
  <si>
    <t>Ndim</t>
  </si>
  <si>
    <t>CF635</t>
  </si>
  <si>
    <t>CF126</t>
  </si>
  <si>
    <t>Moboma</t>
  </si>
  <si>
    <t>CF334</t>
  </si>
  <si>
    <t>CF423</t>
  </si>
  <si>
    <t>CF533</t>
  </si>
  <si>
    <t>CF524</t>
  </si>
  <si>
    <t>CF244</t>
  </si>
  <si>
    <t>Senkpa-Mbaéré</t>
  </si>
  <si>
    <t>CF5341</t>
  </si>
  <si>
    <t>CF7134</t>
  </si>
  <si>
    <t>CF3113</t>
  </si>
  <si>
    <t>CF1214</t>
  </si>
  <si>
    <t>CF2211</t>
  </si>
  <si>
    <t>CF3112</t>
  </si>
  <si>
    <t>CF2232</t>
  </si>
  <si>
    <t>CF4332</t>
  </si>
  <si>
    <t>CF1215</t>
  </si>
  <si>
    <t>CF4333</t>
  </si>
  <si>
    <t>CF1212</t>
  </si>
  <si>
    <t>CF3422</t>
  </si>
  <si>
    <t>CF1261</t>
  </si>
  <si>
    <t>CF2242</t>
  </si>
  <si>
    <t>CF2311</t>
  </si>
  <si>
    <t>CF4334</t>
  </si>
  <si>
    <t>CF6143</t>
  </si>
  <si>
    <t>CF2441</t>
  </si>
  <si>
    <t>CF6141</t>
  </si>
  <si>
    <t>CF2214</t>
  </si>
  <si>
    <t>Bégoua</t>
  </si>
  <si>
    <t>Birvan-Bolé</t>
  </si>
  <si>
    <t>Bogongo Gaza</t>
  </si>
  <si>
    <t>Dan-Gbabiri</t>
  </si>
  <si>
    <t>Goudrot</t>
  </si>
  <si>
    <t>Kobadja</t>
  </si>
  <si>
    <t>Léssé</t>
  </si>
  <si>
    <t>Lissa</t>
  </si>
  <si>
    <t>Mbata</t>
  </si>
  <si>
    <t>Mbili</t>
  </si>
  <si>
    <t>Nadziboro</t>
  </si>
  <si>
    <t>Pouyamba</t>
  </si>
  <si>
    <t>Séliba</t>
  </si>
  <si>
    <t>Siriki</t>
  </si>
  <si>
    <t>Zotoua-Bangarem</t>
  </si>
  <si>
    <t>Admin1</t>
  </si>
  <si>
    <t>Admin2</t>
  </si>
  <si>
    <t>Admin3</t>
  </si>
  <si>
    <t>Admin1_Pcode</t>
  </si>
  <si>
    <t>Admin2_Pcode</t>
  </si>
  <si>
    <t>Admin3_Pcode</t>
  </si>
  <si>
    <t>TOTAL</t>
  </si>
  <si>
    <t>Matrice de suivi des déplacements (DTM) - 23</t>
  </si>
  <si>
    <t>Maj COOPI</t>
  </si>
  <si>
    <t>Profilage COOPADEM (CCCM Mobile)</t>
  </si>
  <si>
    <t>RRM - ACF_BEB_20250110</t>
  </si>
  <si>
    <t># PDI SUR SITES</t>
  </si>
  <si>
    <t># PDI EN FAMILLE D'ACCUEIL</t>
  </si>
  <si>
    <t># TOTAL PDI</t>
  </si>
  <si>
    <t>Matrice de suivi des déplacements (DTM) - 23 + LR Peuhls</t>
  </si>
  <si>
    <t>Matrice de suivi des déplacements (DTM) - 23 + LR NATOLA</t>
  </si>
  <si>
    <t>COPIL du 12/02/2025: Caseload actualisé (ciblage) : 420 ménages, 2764 personnes affectées MSA/Ciblage du 18 au 22/01/2025: Ménages déplacés (Bemaksara=488; Bebaoda=20)=508 M 
La situation sécuritaire est relativement calme dans la localité dans la localité de Mia-Pendé ;
• Les ménages déplacés sont encore dans les localités d’accueil ;
• La liste est validée (420 ménages déplacés) par la autorité locale de deux parties ;</t>
  </si>
  <si>
    <t>Presence d'Acteur</t>
  </si>
  <si>
    <t>Site Géré</t>
  </si>
  <si>
    <t>RRM -ACT_KON_20250124</t>
  </si>
  <si>
    <t xml:space="preserve"> RRM - ACF_GAR_20250114
- ACF_GBA_20250114</t>
  </si>
  <si>
    <t>Row Labels</t>
  </si>
  <si>
    <t>Grand Total</t>
  </si>
  <si>
    <t>Sum of Nbr PDI Familles Accueil</t>
  </si>
  <si>
    <t>Sum of Nbr Total PDI</t>
  </si>
  <si>
    <t>Sum of Différence</t>
  </si>
  <si>
    <t>FA</t>
  </si>
  <si>
    <t>Sites</t>
  </si>
  <si>
    <t>Sum of Sites</t>
  </si>
  <si>
    <t>Sum of FA</t>
  </si>
  <si>
    <t>Total</t>
  </si>
  <si>
    <t>Retournés</t>
  </si>
  <si>
    <t>Sum of Total</t>
  </si>
  <si>
    <t>Values</t>
  </si>
  <si>
    <t>28.02.2025 Individus</t>
  </si>
  <si>
    <t>28.02.2025 Ménages</t>
  </si>
  <si>
    <t>Fevrier 2025</t>
  </si>
  <si>
    <t>La zone Boufforo est hautement risqué pour la population civile à cause des attaques et représailles;</t>
  </si>
  <si>
    <t>RRM - ACF_BOM_20250218</t>
  </si>
  <si>
    <t>RRM -SOL_SAT_20250217</t>
  </si>
  <si>
    <t xml:space="preserve">Des rumeurs circulent sur une potentielle nouvelle attaque du GA limitant la possibilité pour les ménages déplacés de rentrer chez eux. </t>
  </si>
  <si>
    <t>31.03.2025 Individus</t>
  </si>
  <si>
    <t>31.03.2025 Ménages</t>
  </si>
  <si>
    <t>Mars 2025</t>
  </si>
  <si>
    <t>Mise a jour COOPI</t>
  </si>
  <si>
    <t>GADV/COOPI</t>
  </si>
  <si>
    <t xml:space="preserve">Mise à jour </t>
  </si>
  <si>
    <t>CIAUD</t>
  </si>
  <si>
    <t>AXE BOUZOUME - BOCARANGA</t>
  </si>
  <si>
    <t>BOZOUM</t>
  </si>
  <si>
    <t>BOZOUM (5KM)</t>
  </si>
  <si>
    <t>EGLISE CATHOLIQUE</t>
  </si>
  <si>
    <t>MANGA (30KM)</t>
  </si>
  <si>
    <t>GBOGO</t>
  </si>
  <si>
    <t>SANGBAI</t>
  </si>
  <si>
    <t>COPIL DU 12/02/2025: Caseload actualisé (intervention CASH) : 691
ménages soit 4956 personnes,
MSA du 20 au 25 janvier 2025: 505 ménages dépplacés
PDI sur les lieux de regroupement</t>
  </si>
  <si>
    <t>Baungassou</t>
  </si>
  <si>
    <t>POMBOLO</t>
  </si>
  <si>
    <t>MADA-GRENGBADA</t>
  </si>
  <si>
    <t>MALIKO LEPREUX</t>
  </si>
  <si>
    <t>CIAUD mise a jour, les PDI sont de lieux de regroupement</t>
  </si>
  <si>
    <t>RAPPORT DE LA VISITE TERRAIN A BANGUI -
Vendredi, 25 avril 2025 - Cluster national</t>
  </si>
  <si>
    <t>Cluster National CCCM</t>
  </si>
  <si>
    <t>Matrice de suivi des déplacements (DTM) - 23 + ACF_YAL_20250403</t>
  </si>
  <si>
    <t>DTM IOM
RRM ACF_YAL_20250403</t>
  </si>
  <si>
    <t>RRM ACF 
#Catastrophe naturelle</t>
  </si>
  <si>
    <t>ACF_BOE_20250331
ACF_LAM_20250311</t>
  </si>
  <si>
    <t>DTM 
ACF_BOE_20250331</t>
  </si>
  <si>
    <t>DTM IOM - 23
RRM ACF</t>
  </si>
  <si>
    <t>RRM ACF 
ACF_GBA_20250310</t>
  </si>
  <si>
    <t>RRR - ACF_GBA_20250310</t>
  </si>
  <si>
    <t>RRM - ACT_POM_20250402</t>
  </si>
  <si>
    <t>RRM - ACT_POM_20250402
#catastrophe naturelle</t>
  </si>
  <si>
    <t>Entre le 16 et le 22 janvier 2025, la localité de Kongbo, située à 40 km d’Alindao sur l’axe Alindao-Dimbi, aurait accueilli des
personnes déplacées, majoritairement des GMO en provenance de Zémio et Démbia (Mbomou et Haut-Mbomou). Ces
ménages seraient installés sur un site mis à disposition par les autorités locales, à 3 kilomètres de la ville de Kongbo, sur l’axe
Kongbo-Mobaye.
- RRM RRM -ACT_VOU_20250318 - 
#Catastrophes naturelles</t>
  </si>
  <si>
    <t>Matrice de suivi des déplacements (DTM) - 23
RRM - SOL_ZOB_20250324</t>
  </si>
  <si>
    <t xml:space="preserve">DTM IOM
RRM </t>
  </si>
  <si>
    <t>RRR - ACF_BOU_20250307
PARET</t>
  </si>
  <si>
    <t xml:space="preserve">RRR - ACF_BOU_20250307
(378 menages de 2200 personnes) et Wantiguira (295 menages de 1850 personnes) - profilage
 </t>
  </si>
  <si>
    <t>Admin 1</t>
  </si>
  <si>
    <t>Admin 2</t>
  </si>
  <si>
    <t>Admin 3</t>
  </si>
  <si>
    <t>Prefecture</t>
  </si>
  <si>
    <t>Sous-prefecture</t>
  </si>
  <si>
    <t>Commune</t>
  </si>
  <si>
    <t>Prefecture_Pcode</t>
  </si>
  <si>
    <t>Sous-prefecture_Pcode</t>
  </si>
  <si>
    <t>Commune_Pcode</t>
  </si>
  <si>
    <t>Lieux de Regroupement</t>
  </si>
  <si>
    <t>LR :</t>
  </si>
  <si>
    <t>Nbr PDI Sites
LR*</t>
  </si>
  <si>
    <t xml:space="preserve">DEFINITION DES CONCEPTS </t>
  </si>
  <si>
    <t xml:space="preserve">Flux </t>
  </si>
  <si>
    <t xml:space="preserve">Mouvement de masse d’une population quelconque, caractérisée principalement par un lieu de départ, une intention de destination, une taille (ménages/individus). </t>
  </si>
  <si>
    <t xml:space="preserve">Stock </t>
  </si>
  <si>
    <t xml:space="preserve">Le stock fait référence à la taille (ménage, individus) d’une catégorie de population au sein d’une unité d’observation (localité, site, sous-préfecture, préfecture) à un moment donné. </t>
  </si>
  <si>
    <t xml:space="preserve">Personnes déplacées internes (PDI) </t>
  </si>
  <si>
    <t>« Personnes ou [...] groupes de personnes qui ont été forcées ou contraintes à fuir ou à quitter leur foyer ou leur lieu de résidence habituel, notamment en raison d’un conflit armé, de situations de violence généralisée, de violations des droits de l’homme ou de catastrophes naturelles ou provoquées par l’homme ou pour en éviter les effets, et qui n’ont pas franchi les frontières internationalement reconnues d’un Etat » (CCCM)</t>
  </si>
  <si>
    <t xml:space="preserve"> Retournés </t>
  </si>
  <si>
    <t xml:space="preserve"> « 1. Les personnes retournées sont des personnes qui ont quitté leur lieu habituel de résidence (anciennes PDI), se sont installées dans une autre localité en RCA et sont retournées dans leur sous-préfecture d’origine / lieu de résidence habituel
2. Personne ou groupe de personnes ayant précédemment eu un statut de PDI, et qui ont regagné leur lieu de résidence permanente (lieu initialement occupé avant le tout premier déplacement) » (CCCM)</t>
  </si>
  <si>
    <t>Communauté d’accueil</t>
  </si>
  <si>
    <t xml:space="preserve"> « Localité/Communauté (s) qui a (ont) reçu (s) des personnes ou des groupes de personnes, lesquelles ont été forcés ou contraints de fuir ou de quitter leur foyer ou leur lieu de résidence habituelle, notamment en raison d’un conflit armé, de situations de violence généralisée, de violations des droits humains ou de catastrophes naturelles ou provoquées par l’homme ou pour en éviter les effets, et qui n’ont pas franchi les frontières internationalement reconnues d’un État ». (CCCM)</t>
  </si>
  <si>
    <t xml:space="preserve">Famille d’accueil </t>
  </si>
  <si>
    <t>Ménage (s) qui a (ont) reçu (s) des personnes ou des groupes de personnes qui ont été forcés ou contraints de fuir ou de quitter leur foyer ou leur lieu de résidence habituelle, notamment en raison d’un conflit armé, de situations de violence généralisée, de violations des droits humains ou de catastrophes naturelles ou provoquées par l’homme ou pour en éviter les effets, et qui n’ont pas franchi les frontières internationalement reconnues d’un État.</t>
  </si>
  <si>
    <t>Endroit de rassemblement de PDI au sein d’une localité, dans une école, un édifice religieux ou tout autre espace ouvert ou non, non reconnu comme étant un site de manière officielle par le gouvernement (CCCM).</t>
  </si>
  <si>
    <t>Endroit de rassemblement de PDI au sein d’une localité, dans une école, un édifice religieux ou tout autre espace ouvert ou non, reconnu comme étant un site de manière officielle par le gouvernement (CCCM).</t>
  </si>
  <si>
    <t>Dans le contexte des SIG (Systèmes d'Information Géographique), un code P, ou code de lieu, est un identifiant géographique unique utilisé pour identifier des lieux spécifiques sur une carte ou dans une base de données. Il s'agit d'un système standardisé qui attribue des codes alphanumériques uniques aux lieux, garantissant ainsi la cohérence et l'exactitude des données lors de l'exploitation d'informations géographiques.</t>
  </si>
  <si>
    <t>P-code</t>
  </si>
  <si>
    <t>30.04.2025 Individus</t>
  </si>
  <si>
    <t>30.04.2025 Ménages</t>
  </si>
  <si>
    <t>CMP AVRIL 2025</t>
  </si>
  <si>
    <t>Avril 2025</t>
  </si>
  <si>
    <t>Mise a jour</t>
  </si>
  <si>
    <t>Cette diminution se justifiérait par le retour des 35 ménages, soit 195 personnes (33 hommes, 59 filles, 70 garçons et 33 femmes). Certains seraient retour volontaire et d'autres après l'appui à la reconstruction des abris semi-durable par le partenaire OIM  vers leurs zones d'origine</t>
  </si>
  <si>
    <t>RRM -  ACT_GBA_20250417</t>
  </si>
  <si>
    <t>Le 10/04/2025, les CAA seraient retournés au village Gbanga et auraient procédé à des fouilles de maisons. Ils 
accuseraient certains habitants d'être liés avec les GAP, et les auraient battus. 
Par conséquent, une partie des habitants du village auraient fui au village Gbanga.</t>
  </si>
  <si>
    <t>ACF_BOW_20250424</t>
  </si>
  <si>
    <t>La récente remonte à la date du 17 avril 2025. Il a été rapporté d’actes de violation des droits humains entre autres : vandalisme des maisons dont le centre de santé de Bowaye et extorsion des objets de valeurs, incendie des maisons habitables ... Les conséquences humanitaires de cette série de manœuvre militaire ont contraint la population à tout abandonné pour se réfugier à majorité en brousse, quelques ménages éparpillés en familles d’accueil aux villages Gbago, Houssem, Kaboro… Selon les informations collectées, cette situation aurait augmenté la vulnérabilité de la communauté des villages Bowaye.</t>
  </si>
  <si>
    <t>Sum of Nbr PDI Sites
LR*</t>
  </si>
  <si>
    <t>Sans gestionnaire</t>
  </si>
  <si>
    <t>(Multiple Items)</t>
  </si>
  <si>
    <t>Column Labels</t>
  </si>
  <si>
    <t>Count of Nom_Site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</si>
</sst>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_);_(* \(#,##0\);_(* &quot;-&quot;??_);_(@_)"/>
    <numFmt numFmtId="166" formatCode="0.0%"/>
  </numFmts>
  <fonts count="19" x14ac:knownFonts="1">
    <font>
      <sz val="11"/>
      <color theme="1"/>
      <name val="Arial"/>
      <family val="2"/>
    </font>
    <font>
      <sz val="11"/>
      <color theme="0"/>
      <name val="Arial"/>
      <family val="2"/>
    </font>
    <font>
      <sz val="10"/>
      <color theme="1"/>
      <name val="Arial"/>
      <family val="2"/>
    </font>
    <font>
      <b/>
      <sz val="12"/>
      <color theme="0"/>
      <name val="Arial"/>
      <family val="2"/>
    </font>
    <font>
      <sz val="12"/>
      <color theme="0"/>
      <name val="Arial"/>
      <family val="2"/>
    </font>
    <font>
      <sz val="8"/>
      <name val="Arial"/>
      <family val="2"/>
    </font>
    <font>
      <b/>
      <sz val="24"/>
      <color rgb="FF1B657C"/>
      <name val="Franklin Gothic Medium Cond"/>
      <family val="2"/>
    </font>
    <font>
      <sz val="11"/>
      <color theme="1"/>
      <name val="Arial"/>
      <family val="2"/>
    </font>
    <font>
      <b/>
      <sz val="10"/>
      <color theme="0"/>
      <name val="Arial"/>
      <family val="2"/>
    </font>
    <font>
      <b/>
      <sz val="11"/>
      <color theme="0"/>
      <name val="Arial"/>
      <family val="2"/>
    </font>
    <font>
      <b/>
      <sz val="22"/>
      <color rgb="FF1B657C"/>
      <name val="Franklin Gothic Medium Cond"/>
      <family val="2"/>
    </font>
    <font>
      <sz val="10"/>
      <color theme="0"/>
      <name val="Arial"/>
      <family val="2"/>
    </font>
    <font>
      <b/>
      <sz val="14"/>
      <color theme="0"/>
      <name val="Arial"/>
      <family val="2"/>
    </font>
    <font>
      <b/>
      <sz val="16"/>
      <color theme="0"/>
      <name val="Arial"/>
      <family val="2"/>
    </font>
    <font>
      <b/>
      <sz val="20"/>
      <color theme="0"/>
      <name val="Arial"/>
      <family val="2"/>
    </font>
    <font>
      <b/>
      <sz val="22"/>
      <color theme="0"/>
      <name val="Arial"/>
      <family val="2"/>
    </font>
    <font>
      <sz val="10"/>
      <color rgb="FFFF0000"/>
      <name val="Arial"/>
      <family val="2"/>
    </font>
    <font>
      <b/>
      <sz val="14"/>
      <color theme="1"/>
      <name val="Arial"/>
      <family val="2"/>
    </font>
    <font>
      <sz val="9"/>
      <color theme="1"/>
      <name val="Arial"/>
      <family val="2"/>
    </font>
  </fonts>
  <fills count="5">
    <fill>
      <patternFill patternType="none"/>
    </fill>
    <fill>
      <patternFill patternType="gray125"/>
    </fill>
    <fill>
      <patternFill patternType="solid">
        <fgColor rgb="FF1B657C"/>
        <bgColor indexed="64"/>
      </patternFill>
    </fill>
    <fill>
      <patternFill patternType="solid">
        <fgColor theme="0"/>
        <bgColor indexed="64"/>
      </patternFill>
    </fill>
    <fill>
      <patternFill patternType="solid">
        <fgColor theme="8" tint="0.79998168889431442"/>
        <bgColor indexed="64"/>
      </patternFill>
    </fill>
  </fills>
  <borders count="27">
    <border>
      <left/>
      <right/>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rgb="FFBBDFBB"/>
      </left>
      <right style="thin">
        <color rgb="FFBBDFBB"/>
      </right>
      <top style="thin">
        <color rgb="FFBBDFBB"/>
      </top>
      <bottom style="thin">
        <color rgb="FFBBDFBB"/>
      </bottom>
      <diagonal/>
    </border>
    <border>
      <left/>
      <right style="thin">
        <color rgb="FFBBDFBB"/>
      </right>
      <top/>
      <bottom style="thin">
        <color rgb="FFBBDFBB"/>
      </bottom>
      <diagonal/>
    </border>
    <border>
      <left style="thin">
        <color rgb="FFBBDFBB"/>
      </left>
      <right style="thin">
        <color rgb="FFBBDFBB"/>
      </right>
      <top/>
      <bottom style="thin">
        <color rgb="FFBBDFBB"/>
      </bottom>
      <diagonal/>
    </border>
    <border>
      <left style="thin">
        <color rgb="FFBBDFBB"/>
      </left>
      <right/>
      <top/>
      <bottom style="thin">
        <color rgb="FFBBDFBB"/>
      </bottom>
      <diagonal/>
    </border>
    <border>
      <left/>
      <right style="thin">
        <color rgb="FFBBDFBB"/>
      </right>
      <top style="thin">
        <color rgb="FFBBDFBB"/>
      </top>
      <bottom style="thin">
        <color rgb="FFBBDFBB"/>
      </bottom>
      <diagonal/>
    </border>
    <border>
      <left style="thin">
        <color rgb="FFBBDFBB"/>
      </left>
      <right/>
      <top style="thin">
        <color rgb="FFBBDFBB"/>
      </top>
      <bottom style="thin">
        <color rgb="FFBBDFBB"/>
      </bottom>
      <diagonal/>
    </border>
    <border>
      <left/>
      <right style="thin">
        <color rgb="FFBBDFBB"/>
      </right>
      <top style="thin">
        <color rgb="FFBBDFBB"/>
      </top>
      <bottom/>
      <diagonal/>
    </border>
    <border>
      <left style="thin">
        <color rgb="FFBBDFBB"/>
      </left>
      <right style="thin">
        <color rgb="FFBBDFBB"/>
      </right>
      <top style="thin">
        <color rgb="FFBBDFBB"/>
      </top>
      <bottom/>
      <diagonal/>
    </border>
    <border>
      <left style="thin">
        <color rgb="FFBBDFBB"/>
      </left>
      <right/>
      <top style="thin">
        <color rgb="FFBBDFBB"/>
      </top>
      <bottom/>
      <diagonal/>
    </border>
    <border>
      <left style="thin">
        <color rgb="FF6FC5BC"/>
      </left>
      <right/>
      <top style="thin">
        <color rgb="FF6FC5BC"/>
      </top>
      <bottom style="thin">
        <color theme="0" tint="-4.9989318521683403E-2"/>
      </bottom>
      <diagonal/>
    </border>
    <border>
      <left/>
      <right style="thin">
        <color rgb="FF6FC5BC"/>
      </right>
      <top style="thin">
        <color rgb="FF6FC5BC"/>
      </top>
      <bottom style="thin">
        <color theme="0" tint="-4.9989318521683403E-2"/>
      </bottom>
      <diagonal/>
    </border>
    <border>
      <left style="thin">
        <color rgb="FF6FC5BC"/>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rgb="FF6FC5BC"/>
      </right>
      <top style="thin">
        <color theme="0" tint="-4.9989318521683403E-2"/>
      </top>
      <bottom style="thin">
        <color theme="0" tint="-4.9989318521683403E-2"/>
      </bottom>
      <diagonal/>
    </border>
    <border>
      <left style="thin">
        <color rgb="FF6FC5BC"/>
      </left>
      <right style="thin">
        <color theme="0" tint="-4.9989318521683403E-2"/>
      </right>
      <top style="thin">
        <color theme="0" tint="-4.9989318521683403E-2"/>
      </top>
      <bottom style="thin">
        <color rgb="FF6FC5BC"/>
      </bottom>
      <diagonal/>
    </border>
    <border>
      <left style="thin">
        <color theme="0" tint="-4.9989318521683403E-2"/>
      </left>
      <right style="thin">
        <color rgb="FF6FC5BC"/>
      </right>
      <top style="thin">
        <color theme="0" tint="-4.9989318521683403E-2"/>
      </top>
      <bottom style="thin">
        <color rgb="FF6FC5BC"/>
      </bottom>
      <diagonal/>
    </border>
    <border>
      <left style="thin">
        <color rgb="FF6FC5BC"/>
      </left>
      <right style="thin">
        <color theme="0" tint="-4.9989318521683403E-2"/>
      </right>
      <top/>
      <bottom style="thin">
        <color rgb="FF6FC5BC"/>
      </bottom>
      <diagonal/>
    </border>
    <border>
      <left style="thin">
        <color theme="0" tint="-4.9989318521683403E-2"/>
      </left>
      <right style="thin">
        <color rgb="FF6FC5BC"/>
      </right>
      <top/>
      <bottom style="thin">
        <color rgb="FF6FC5BC"/>
      </bottom>
      <diagonal/>
    </border>
  </borders>
  <cellStyleXfs count="3">
    <xf numFmtId="0" fontId="0" fillId="0" borderId="0"/>
    <xf numFmtId="164" fontId="7" fillId="0" borderId="0" applyFont="0" applyFill="0" applyBorder="0" applyAlignment="0" applyProtection="0"/>
    <xf numFmtId="9" fontId="7" fillId="0" borderId="0" applyFont="0" applyFill="0" applyBorder="0" applyAlignment="0" applyProtection="0"/>
  </cellStyleXfs>
  <cellXfs count="134">
    <xf numFmtId="0" fontId="0" fillId="0" borderId="0" xfId="0"/>
    <xf numFmtId="0" fontId="6" fillId="0" borderId="0" xfId="0" applyFont="1" applyAlignment="1">
      <alignment horizontal="left" vertical="center"/>
    </xf>
    <xf numFmtId="0" fontId="1" fillId="2" borderId="0" xfId="0" applyFont="1" applyFill="1"/>
    <xf numFmtId="1" fontId="3" fillId="2" borderId="0" xfId="0" applyNumberFormat="1" applyFont="1" applyFill="1" applyAlignment="1">
      <alignment horizontal="center"/>
    </xf>
    <xf numFmtId="3" fontId="3" fillId="2" borderId="0" xfId="0" applyNumberFormat="1" applyFont="1" applyFill="1"/>
    <xf numFmtId="3" fontId="4" fillId="2" borderId="0" xfId="0" applyNumberFormat="1" applyFont="1" applyFill="1"/>
    <xf numFmtId="165" fontId="3" fillId="2" borderId="0" xfId="1" applyNumberFormat="1" applyFont="1" applyFill="1"/>
    <xf numFmtId="165" fontId="0" fillId="0" borderId="0" xfId="0" applyNumberFormat="1"/>
    <xf numFmtId="9" fontId="0" fillId="0" borderId="0" xfId="2" applyFont="1"/>
    <xf numFmtId="0" fontId="0" fillId="0" borderId="0" xfId="0" applyAlignment="1">
      <alignment vertical="center"/>
    </xf>
    <xf numFmtId="3" fontId="0" fillId="0" borderId="0" xfId="0" applyNumberFormat="1"/>
    <xf numFmtId="0" fontId="10" fillId="0" borderId="0" xfId="0" applyFont="1" applyAlignment="1">
      <alignment horizontal="left" vertical="center"/>
    </xf>
    <xf numFmtId="0" fontId="0" fillId="0" borderId="0" xfId="0" applyAlignment="1">
      <alignment vertical="center" wrapText="1"/>
    </xf>
    <xf numFmtId="0" fontId="0" fillId="0" borderId="0" xfId="0" applyAlignment="1"/>
    <xf numFmtId="0" fontId="6" fillId="0" borderId="0" xfId="0" applyFont="1" applyAlignment="1">
      <alignment vertical="center"/>
    </xf>
    <xf numFmtId="0" fontId="11" fillId="2" borderId="0" xfId="0" applyFont="1" applyFill="1"/>
    <xf numFmtId="3" fontId="9" fillId="2" borderId="0" xfId="0" applyNumberFormat="1" applyFont="1" applyFill="1" applyAlignment="1">
      <alignment horizontal="center"/>
    </xf>
    <xf numFmtId="0" fontId="6" fillId="3" borderId="0" xfId="0" applyFont="1" applyFill="1" applyAlignment="1">
      <alignment vertical="center"/>
    </xf>
    <xf numFmtId="0" fontId="0" fillId="2" borderId="0" xfId="0" applyFill="1"/>
    <xf numFmtId="3" fontId="9" fillId="2" borderId="0" xfId="0" applyNumberFormat="1" applyFont="1" applyFill="1"/>
    <xf numFmtId="3" fontId="9" fillId="0" borderId="0" xfId="0" applyNumberFormat="1" applyFont="1"/>
    <xf numFmtId="0" fontId="2" fillId="0" borderId="14" xfId="0" applyFont="1" applyBorder="1"/>
    <xf numFmtId="0" fontId="2" fillId="0" borderId="10" xfId="0" applyFont="1" applyBorder="1"/>
    <xf numFmtId="0" fontId="2" fillId="0" borderId="15" xfId="0" applyFont="1" applyBorder="1"/>
    <xf numFmtId="0" fontId="2" fillId="0" borderId="14" xfId="0" applyFont="1" applyBorder="1" applyAlignment="1">
      <alignment vertical="center"/>
    </xf>
    <xf numFmtId="0" fontId="2" fillId="0" borderId="10" xfId="0" applyFont="1" applyBorder="1" applyAlignment="1">
      <alignment vertical="center"/>
    </xf>
    <xf numFmtId="9" fontId="2" fillId="0" borderId="10" xfId="2"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165" fontId="2" fillId="0" borderId="10" xfId="1" applyNumberFormat="1" applyFont="1" applyBorder="1"/>
    <xf numFmtId="9" fontId="2" fillId="0" borderId="10" xfId="0" applyNumberFormat="1" applyFont="1" applyBorder="1"/>
    <xf numFmtId="165" fontId="2" fillId="3" borderId="10" xfId="1" applyNumberFormat="1" applyFont="1" applyFill="1" applyBorder="1"/>
    <xf numFmtId="0" fontId="2" fillId="0" borderId="14" xfId="0" applyFont="1" applyBorder="1" applyAlignment="1"/>
    <xf numFmtId="0" fontId="2" fillId="0" borderId="10" xfId="0" applyFont="1" applyBorder="1" applyAlignment="1"/>
    <xf numFmtId="165" fontId="2" fillId="0" borderId="10" xfId="1" applyNumberFormat="1" applyFont="1" applyBorder="1" applyAlignment="1"/>
    <xf numFmtId="9" fontId="2" fillId="0" borderId="10" xfId="0" applyNumberFormat="1" applyFont="1" applyBorder="1" applyAlignment="1"/>
    <xf numFmtId="165" fontId="2" fillId="0" borderId="10" xfId="1" applyNumberFormat="1" applyFont="1" applyFill="1" applyBorder="1"/>
    <xf numFmtId="165" fontId="2" fillId="0" borderId="10" xfId="1" applyNumberFormat="1" applyFont="1" applyBorder="1" applyAlignment="1">
      <alignment vertical="center"/>
    </xf>
    <xf numFmtId="0" fontId="2" fillId="0" borderId="15" xfId="0" applyFont="1" applyBorder="1" applyAlignment="1">
      <alignment vertical="center"/>
    </xf>
    <xf numFmtId="165" fontId="2" fillId="0" borderId="17" xfId="1" applyNumberFormat="1" applyFont="1" applyBorder="1"/>
    <xf numFmtId="9" fontId="2" fillId="0" borderId="17" xfId="0" applyNumberFormat="1" applyFont="1" applyBorder="1"/>
    <xf numFmtId="0" fontId="2" fillId="0" borderId="10" xfId="0" quotePrefix="1" applyFont="1" applyBorder="1"/>
    <xf numFmtId="0" fontId="2" fillId="0" borderId="10" xfId="0" applyFont="1" applyFill="1" applyBorder="1"/>
    <xf numFmtId="0" fontId="2" fillId="0" borderId="14" xfId="0" applyFont="1" applyBorder="1" applyAlignment="1">
      <alignment horizontal="left" vertical="center"/>
    </xf>
    <xf numFmtId="3" fontId="9" fillId="2" borderId="0" xfId="0" applyNumberFormat="1" applyFont="1" applyFill="1" applyAlignment="1">
      <alignment horizontal="left"/>
    </xf>
    <xf numFmtId="0" fontId="0" fillId="2" borderId="0" xfId="0" applyFill="1" applyAlignment="1">
      <alignment horizontal="left"/>
    </xf>
    <xf numFmtId="0" fontId="0" fillId="0" borderId="0" xfId="0" applyAlignment="1">
      <alignment horizontal="left"/>
    </xf>
    <xf numFmtId="3" fontId="9" fillId="2" borderId="0" xfId="0" applyNumberFormat="1" applyFont="1" applyFill="1" applyAlignment="1">
      <alignment horizontal="center" vertical="center"/>
    </xf>
    <xf numFmtId="9" fontId="0" fillId="0" borderId="0" xfId="2" applyFont="1" applyAlignment="1">
      <alignment horizontal="center" vertical="center"/>
    </xf>
    <xf numFmtId="0" fontId="0" fillId="0" borderId="0" xfId="0" pivotButton="1"/>
    <xf numFmtId="0" fontId="0" fillId="0" borderId="0" xfId="0" applyNumberFormat="1"/>
    <xf numFmtId="0" fontId="2" fillId="0" borderId="10" xfId="0" applyFont="1" applyFill="1" applyBorder="1" applyAlignment="1">
      <alignment vertical="center"/>
    </xf>
    <xf numFmtId="165" fontId="0" fillId="0" borderId="0" xfId="2" applyNumberFormat="1" applyFont="1"/>
    <xf numFmtId="0" fontId="2" fillId="0" borderId="10" xfId="0" applyFont="1" applyBorder="1" applyAlignment="1">
      <alignment wrapText="1"/>
    </xf>
    <xf numFmtId="9" fontId="2" fillId="0" borderId="10" xfId="0" applyNumberFormat="1" applyFont="1" applyBorder="1" applyAlignment="1">
      <alignment vertical="center"/>
    </xf>
    <xf numFmtId="0" fontId="16" fillId="0" borderId="10" xfId="0" applyFont="1" applyBorder="1"/>
    <xf numFmtId="0" fontId="16" fillId="0" borderId="15" xfId="0" applyFont="1" applyBorder="1"/>
    <xf numFmtId="0" fontId="2" fillId="2" borderId="12" xfId="0" applyFont="1" applyFill="1" applyBorder="1" applyAlignment="1">
      <alignment horizontal="left" vertical="center" wrapText="1"/>
    </xf>
    <xf numFmtId="165" fontId="2" fillId="0" borderId="10" xfId="0" applyNumberFormat="1" applyFont="1" applyBorder="1" applyAlignment="1">
      <alignment horizontal="left" vertical="center"/>
    </xf>
    <xf numFmtId="0" fontId="0" fillId="0" borderId="0" xfId="0" applyAlignment="1">
      <alignment horizontal="left" vertical="center"/>
    </xf>
    <xf numFmtId="165" fontId="2" fillId="0" borderId="17" xfId="0" applyNumberFormat="1" applyFont="1" applyBorder="1" applyAlignment="1">
      <alignment horizontal="left" vertical="center"/>
    </xf>
    <xf numFmtId="3" fontId="3" fillId="2" borderId="0" xfId="0" applyNumberFormat="1" applyFont="1" applyFill="1" applyAlignment="1">
      <alignment horizontal="left" vertical="center"/>
    </xf>
    <xf numFmtId="3" fontId="0" fillId="0" borderId="0" xfId="0" applyNumberFormat="1" applyAlignment="1">
      <alignment horizontal="left" vertical="center"/>
    </xf>
    <xf numFmtId="9" fontId="0" fillId="0" borderId="0" xfId="2" applyFont="1" applyAlignment="1">
      <alignment vertical="center"/>
    </xf>
    <xf numFmtId="165" fontId="2" fillId="0" borderId="10" xfId="1" applyNumberFormat="1" applyFont="1" applyFill="1" applyBorder="1" applyAlignment="1">
      <alignment vertical="center"/>
    </xf>
    <xf numFmtId="165" fontId="2" fillId="0" borderId="17" xfId="1" applyNumberFormat="1" applyFont="1" applyBorder="1" applyAlignment="1">
      <alignment vertical="center"/>
    </xf>
    <xf numFmtId="165" fontId="3" fillId="2" borderId="0" xfId="1" applyNumberFormat="1" applyFont="1" applyFill="1" applyAlignment="1">
      <alignment vertical="center"/>
    </xf>
    <xf numFmtId="165" fontId="0" fillId="0" borderId="0" xfId="0" applyNumberFormat="1" applyAlignment="1">
      <alignment vertical="center"/>
    </xf>
    <xf numFmtId="0" fontId="2" fillId="0" borderId="14" xfId="0" applyNumberFormat="1" applyFont="1" applyBorder="1"/>
    <xf numFmtId="0" fontId="2" fillId="0" borderId="10" xfId="0" applyNumberFormat="1" applyFont="1" applyBorder="1"/>
    <xf numFmtId="165" fontId="2" fillId="0" borderId="10" xfId="1" applyNumberFormat="1" applyFont="1" applyBorder="1" applyAlignment="1">
      <alignment horizontal="right" vertical="center"/>
    </xf>
    <xf numFmtId="0" fontId="2" fillId="0" borderId="10" xfId="0" applyFont="1" applyFill="1" applyBorder="1" applyAlignment="1"/>
    <xf numFmtId="0" fontId="2" fillId="0" borderId="15" xfId="0" applyFont="1" applyBorder="1" applyAlignment="1">
      <alignment horizontal="lef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0" fillId="0" borderId="21" xfId="0" applyBorder="1"/>
    <xf numFmtId="0" fontId="0" fillId="0" borderId="22" xfId="0" applyBorder="1"/>
    <xf numFmtId="0" fontId="0" fillId="0" borderId="21" xfId="0" applyBorder="1" applyAlignment="1">
      <alignment vertical="center"/>
    </xf>
    <xf numFmtId="0" fontId="0" fillId="0" borderId="22" xfId="0" applyBorder="1" applyAlignment="1">
      <alignment vertical="center" wrapText="1"/>
    </xf>
    <xf numFmtId="0" fontId="17" fillId="0" borderId="0" xfId="0" applyFont="1" applyAlignment="1">
      <alignment vertical="center"/>
    </xf>
    <xf numFmtId="0" fontId="0" fillId="3" borderId="21" xfId="0" applyFill="1" applyBorder="1" applyAlignment="1">
      <alignment vertical="center"/>
    </xf>
    <xf numFmtId="0" fontId="0" fillId="3" borderId="22" xfId="0" applyFill="1" applyBorder="1" applyAlignment="1">
      <alignment vertical="center" wrapText="1"/>
    </xf>
    <xf numFmtId="0" fontId="0" fillId="3" borderId="25" xfId="0" applyFill="1" applyBorder="1" applyAlignment="1">
      <alignment vertical="center"/>
    </xf>
    <xf numFmtId="0" fontId="0" fillId="3" borderId="26" xfId="0" applyFill="1" applyBorder="1" applyAlignment="1">
      <alignment vertical="center" wrapText="1"/>
    </xf>
    <xf numFmtId="0" fontId="0" fillId="3" borderId="22" xfId="0" applyFill="1" applyBorder="1" applyAlignment="1">
      <alignment vertical="center"/>
    </xf>
    <xf numFmtId="0" fontId="2" fillId="0" borderId="16" xfId="0" applyFont="1" applyBorder="1" applyAlignment="1">
      <alignment horizontal="left" vertical="center"/>
    </xf>
    <xf numFmtId="0" fontId="2" fillId="0" borderId="17" xfId="0" applyFont="1" applyBorder="1" applyAlignment="1">
      <alignment vertical="center"/>
    </xf>
    <xf numFmtId="9" fontId="2" fillId="0" borderId="17" xfId="2" applyFont="1" applyBorder="1" applyAlignment="1">
      <alignment vertical="center"/>
    </xf>
    <xf numFmtId="0" fontId="8" fillId="2" borderId="11" xfId="0" applyFont="1" applyFill="1" applyBorder="1" applyAlignment="1">
      <alignment horizontal="left" vertical="center"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0" fillId="4" borderId="21" xfId="0" applyFill="1" applyBorder="1" applyAlignment="1">
      <alignment vertical="center"/>
    </xf>
    <xf numFmtId="0" fontId="0" fillId="4" borderId="22" xfId="0" applyFill="1" applyBorder="1" applyAlignment="1">
      <alignment vertical="center" wrapText="1"/>
    </xf>
    <xf numFmtId="0" fontId="0" fillId="4" borderId="22" xfId="0" applyFill="1" applyBorder="1" applyAlignment="1">
      <alignment vertical="center"/>
    </xf>
    <xf numFmtId="0" fontId="0" fillId="4" borderId="23" xfId="0" applyFill="1" applyBorder="1" applyAlignment="1">
      <alignment vertical="center"/>
    </xf>
    <xf numFmtId="0" fontId="0" fillId="4" borderId="24" xfId="0" applyFill="1" applyBorder="1" applyAlignment="1">
      <alignment vertical="center"/>
    </xf>
    <xf numFmtId="0" fontId="0" fillId="0" borderId="0" xfId="0" applyFill="1"/>
    <xf numFmtId="166" fontId="0" fillId="0" borderId="0" xfId="2" applyNumberFormat="1" applyFont="1"/>
    <xf numFmtId="0" fontId="18" fillId="0" borderId="0" xfId="0" applyFont="1"/>
    <xf numFmtId="0" fontId="0" fillId="0" borderId="0" xfId="0" applyNumberFormat="1" applyAlignment="1">
      <alignment horizontal="center"/>
    </xf>
    <xf numFmtId="0" fontId="0" fillId="0" borderId="0" xfId="0" applyAlignment="1">
      <alignment horizont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3" fontId="14" fillId="2" borderId="8" xfId="0" applyNumberFormat="1" applyFont="1" applyFill="1" applyBorder="1" applyAlignment="1">
      <alignment horizontal="center" vertical="center" wrapText="1"/>
    </xf>
    <xf numFmtId="3" fontId="14" fillId="2" borderId="9" xfId="0" applyNumberFormat="1" applyFont="1" applyFill="1" applyBorder="1" applyAlignment="1">
      <alignment horizontal="center" vertical="center" wrapText="1"/>
    </xf>
    <xf numFmtId="3" fontId="14" fillId="2" borderId="4" xfId="0" applyNumberFormat="1" applyFont="1" applyFill="1" applyBorder="1" applyAlignment="1">
      <alignment horizontal="center" vertical="center" wrapText="1"/>
    </xf>
    <xf numFmtId="3" fontId="14" fillId="2" borderId="5" xfId="0" applyNumberFormat="1" applyFont="1" applyFill="1" applyBorder="1" applyAlignment="1">
      <alignment horizontal="center" vertical="center" wrapText="1"/>
    </xf>
    <xf numFmtId="3" fontId="14" fillId="2" borderId="6" xfId="0" applyNumberFormat="1" applyFont="1" applyFill="1" applyBorder="1" applyAlignment="1">
      <alignment horizontal="center" vertical="center" wrapText="1"/>
    </xf>
    <xf numFmtId="3" fontId="15" fillId="2" borderId="7" xfId="0" applyNumberFormat="1" applyFont="1" applyFill="1" applyBorder="1" applyAlignment="1">
      <alignment horizontal="center" vertical="center" wrapText="1"/>
    </xf>
    <xf numFmtId="3" fontId="15" fillId="2" borderId="9" xfId="0" applyNumberFormat="1" applyFont="1" applyFill="1" applyBorder="1" applyAlignment="1">
      <alignment horizontal="center" vertical="center" wrapText="1"/>
    </xf>
    <xf numFmtId="3" fontId="15" fillId="2" borderId="4" xfId="0" applyNumberFormat="1" applyFont="1" applyFill="1" applyBorder="1" applyAlignment="1">
      <alignment horizontal="center" vertical="center" wrapText="1"/>
    </xf>
    <xf numFmtId="3" fontId="15" fillId="2" borderId="6"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cellXfs>
  <cellStyles count="3">
    <cellStyle name="Comma" xfId="1" builtinId="3"/>
    <cellStyle name="Normal" xfId="0" builtinId="0"/>
    <cellStyle name="Percent" xfId="2" builtinId="5"/>
  </cellStyles>
  <dxfs count="86">
    <dxf>
      <fill>
        <patternFill>
          <bgColor rgb="FFBBDFBB"/>
        </patternFill>
      </fill>
    </dxf>
    <dxf>
      <fill>
        <patternFill>
          <bgColor rgb="FF6FC5BC"/>
        </patternFill>
      </fill>
    </dxf>
    <dxf>
      <fill>
        <patternFill>
          <bgColor rgb="FFBBDFBB"/>
        </patternFill>
      </fill>
    </dxf>
    <dxf>
      <fill>
        <patternFill>
          <bgColor rgb="FF6FC5BC"/>
        </patternFill>
      </fill>
    </dxf>
    <dxf>
      <font>
        <strike val="0"/>
        <outline val="0"/>
        <shadow val="0"/>
        <u val="none"/>
        <vertAlign val="baseline"/>
        <sz val="10"/>
        <color theme="1"/>
        <name val="Arial"/>
        <family val="2"/>
        <scheme val="none"/>
      </font>
      <numFmt numFmtId="0" formatCode="General"/>
      <border diagonalUp="0" diagonalDown="0">
        <left style="thin">
          <color rgb="FFBBDFBB"/>
        </left>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right style="thin">
          <color rgb="FFBBDFBB"/>
        </right>
        <top style="thin">
          <color rgb="FFBBDFBB"/>
        </top>
        <bottom style="thin">
          <color rgb="FFBBDFBB"/>
        </bottom>
        <vertical style="thin">
          <color rgb="FFBBDFBB"/>
        </vertical>
        <horizontal style="thin">
          <color rgb="FFBBDFBB"/>
        </horizontal>
      </border>
    </dxf>
    <dxf>
      <border>
        <top style="thin">
          <color rgb="FFBBDFBB"/>
        </top>
      </border>
    </dxf>
    <dxf>
      <border diagonalUp="0" diagonalDown="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dxf>
    <dxf>
      <border>
        <bottom style="thin">
          <color rgb="FFBBDFBB"/>
        </bottom>
      </border>
    </dxf>
    <dxf>
      <font>
        <strike val="0"/>
        <outline val="0"/>
        <shadow val="0"/>
        <u val="none"/>
        <vertAlign val="baseline"/>
        <sz val="10"/>
        <color theme="1"/>
        <name val="Arial"/>
        <family val="2"/>
        <scheme val="none"/>
      </font>
      <fill>
        <patternFill patternType="solid">
          <fgColor indexed="64"/>
          <bgColor rgb="FF1B657C"/>
        </patternFill>
      </fill>
      <alignment horizontal="general" vertical="center" textRotation="0" indent="0" justifyLastLine="0" shrinkToFit="0" readingOrder="0"/>
      <border diagonalUp="0" diagonalDown="0" outline="0">
        <left style="thin">
          <color rgb="FFBBDFBB"/>
        </left>
        <right style="thin">
          <color rgb="FFBBDFBB"/>
        </right>
        <top/>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numFmt numFmtId="0" formatCode="General"/>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numFmt numFmtId="0" formatCode="General"/>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numFmt numFmtId="0" formatCode="General"/>
      <alignment vertical="center" textRotation="0" indent="0" justifyLastLine="0" shrinkToFit="0" readingOrder="0"/>
      <border diagonalUp="0" diagonalDown="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numFmt numFmtId="13" formatCode="0%"/>
      <alignment vertical="center" textRotation="0" indent="0" justifyLastLine="0" shrinkToFit="0" readingOrder="0"/>
      <border diagonalUp="0" diagonalDown="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style="thin">
          <color rgb="FFBBDFBB"/>
        </left>
        <right style="thin">
          <color rgb="FFBBDFBB"/>
        </right>
        <top style="thin">
          <color rgb="FFBBDFBB"/>
        </top>
        <bottom style="thin">
          <color rgb="FFBBDFBB"/>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style="thin">
          <color rgb="FFBBDFBB"/>
        </left>
        <right style="thin">
          <color rgb="FFBBDFBB"/>
        </right>
        <top style="thin">
          <color rgb="FFBBDFBB"/>
        </top>
        <bottom style="thin">
          <color rgb="FFBBDFBB"/>
        </bottom>
        <vertical/>
        <horizontal/>
      </border>
    </dxf>
    <dxf>
      <font>
        <b val="0"/>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horizontal="left" vertical="center" textRotation="0" indent="0" justifyLastLine="0" shrinkToFit="0" readingOrder="0"/>
      <border diagonalUp="0" diagonalDown="0" outline="0">
        <left/>
        <right style="thin">
          <color rgb="FFBBDFBB"/>
        </right>
        <top style="thin">
          <color rgb="FFBBDFBB"/>
        </top>
        <bottom style="thin">
          <color rgb="FFBBDFBB"/>
        </bottom>
      </border>
    </dxf>
    <dxf>
      <border>
        <top style="thin">
          <color rgb="FFBBDFBB"/>
        </top>
      </border>
    </dxf>
    <dxf>
      <border diagonalUp="0" diagonalDown="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alignment vertical="center" textRotation="0" indent="0" justifyLastLine="0" shrinkToFit="0" readingOrder="0"/>
    </dxf>
    <dxf>
      <border>
        <bottom style="thin">
          <color rgb="FFBBDFBB"/>
        </bottom>
      </border>
    </dxf>
    <dxf>
      <font>
        <b/>
        <i val="0"/>
        <strike val="0"/>
        <condense val="0"/>
        <extend val="0"/>
        <outline val="0"/>
        <shadow val="0"/>
        <u val="none"/>
        <vertAlign val="baseline"/>
        <sz val="10"/>
        <color theme="0"/>
        <name val="Arial"/>
        <family val="2"/>
        <scheme val="none"/>
      </font>
      <fill>
        <patternFill patternType="solid">
          <fgColor indexed="64"/>
          <bgColor rgb="FF1B657C"/>
        </patternFill>
      </fill>
      <alignment horizontal="general" vertical="center" textRotation="0" wrapText="1" indent="0" justifyLastLine="0" shrinkToFit="0" readingOrder="0"/>
      <border diagonalUp="0" diagonalDown="0" outline="0">
        <left style="thin">
          <color rgb="FFBBDFBB"/>
        </left>
        <right style="thin">
          <color rgb="FFBBDFBB"/>
        </right>
        <top/>
        <bottom/>
      </border>
    </dxf>
    <dxf>
      <font>
        <strike val="0"/>
        <outline val="0"/>
        <shadow val="0"/>
        <u val="none"/>
        <vertAlign val="baseline"/>
        <sz val="10"/>
        <color theme="1"/>
        <name val="Arial"/>
        <family val="2"/>
        <scheme val="none"/>
      </font>
      <border diagonalUp="0" diagonalDown="0">
        <left style="thin">
          <color rgb="FFBBDFBB"/>
        </left>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numFmt numFmtId="165" formatCode="_(* #,##0_);_(* \(#,##0\);_(* &quot;-&quot;??_);_(@_)"/>
      <alignment horizontal="left" vertical="center" textRotation="0" indent="0" justifyLastLine="0" shrinkToFit="0" readingOrder="0"/>
      <border diagonalUp="0" diagonalDown="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numFmt numFmtId="13" formatCode="0%"/>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wrapText="0" indent="0" justifyLastLine="0" shrinkToFit="0" readingOrder="0"/>
      <border diagonalUp="0" diagonalDown="0">
        <left style="thin">
          <color rgb="FFBBDFBB"/>
        </left>
        <right style="thin">
          <color rgb="FFBBDFBB"/>
        </right>
        <top style="thin">
          <color rgb="FFBBDFBB"/>
        </top>
        <bottom style="thin">
          <color rgb="FFBBDFBB"/>
        </bottom>
        <vertical/>
        <horizontal/>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wrapText="0" indent="0" justifyLastLine="0" shrinkToFit="0" readingOrder="0"/>
      <border diagonalUp="0" diagonalDown="0">
        <left style="thin">
          <color rgb="FFBBDFBB"/>
        </left>
        <right style="thin">
          <color rgb="FFBBDFBB"/>
        </right>
        <top style="thin">
          <color rgb="FFBBDFBB"/>
        </top>
        <bottom style="thin">
          <color rgb="FFBBDFBB"/>
        </bottom>
        <vertical/>
        <horizontal/>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numFmt numFmtId="165" formatCode="_(* #,##0_);_(* \(#,##0\);_(* &quot;-&quot;??_);_(@_)"/>
      <alignment horizontal="general" vertical="center" textRotation="0" indent="0" justifyLastLine="0" shrinkToFit="0" readingOrder="0"/>
      <border diagonalUp="0" diagonalDown="0" outline="0">
        <left style="thin">
          <color rgb="FFBBDFBB"/>
        </left>
        <right style="thin">
          <color rgb="FFBBDFBB"/>
        </right>
        <top style="thin">
          <color rgb="FFBBDFBB"/>
        </top>
        <bottom style="thin">
          <color rgb="FFBBDFBB"/>
        </bottom>
      </border>
    </dxf>
    <dxf>
      <font>
        <b val="0"/>
        <i val="0"/>
        <strike val="0"/>
        <condense val="0"/>
        <extend val="0"/>
        <outline val="0"/>
        <shadow val="0"/>
        <u val="none"/>
        <vertAlign val="baseline"/>
        <sz val="10"/>
        <color theme="1"/>
        <name val="Arial"/>
        <family val="2"/>
        <scheme val="none"/>
      </font>
      <numFmt numFmtId="165" formatCode="_(* #,##0_);_(* \(#,##0\);_(* &quot;-&quot;??_);_(@_)"/>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165" formatCode="_(* #,##0_);_(* \(#,##0\);_(* &quot;-&quot;??_);_(@_)"/>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165" formatCode="_(* #,##0_);_(* \(#,##0\);_(* &quot;-&quot;??_);_(@_)"/>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165" formatCode="_(* #,##0_);_(* \(#,##0\);_(* &quot;-&quot;??_);_(@_)"/>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strike val="0"/>
        <outline val="0"/>
        <shadow val="0"/>
        <u val="none"/>
        <vertAlign val="baseline"/>
        <sz val="10"/>
        <color theme="1"/>
        <name val="Arial"/>
        <family val="2"/>
        <scheme val="none"/>
      </font>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style="thin">
          <color rgb="FFBBDFBB"/>
        </left>
        <right style="thin">
          <color rgb="FFBBDFBB"/>
        </right>
        <top style="thin">
          <color rgb="FFBBDFBB"/>
        </top>
        <bottom style="thin">
          <color rgb="FFBBDFBB"/>
        </bottom>
        <vertical style="thin">
          <color rgb="FFBBDFBB"/>
        </vertical>
        <horizontal style="thin">
          <color rgb="FFBBDFBB"/>
        </horizontal>
      </border>
    </dxf>
    <dxf>
      <font>
        <b val="0"/>
        <i val="0"/>
        <strike val="0"/>
        <condense val="0"/>
        <extend val="0"/>
        <outline val="0"/>
        <shadow val="0"/>
        <u val="none"/>
        <vertAlign val="baseline"/>
        <sz val="10"/>
        <color theme="1"/>
        <name val="Arial"/>
        <family val="2"/>
        <scheme val="none"/>
      </font>
      <numFmt numFmtId="0" formatCode="General"/>
      <border diagonalUp="0" diagonalDown="0">
        <left/>
        <right style="thin">
          <color rgb="FFBBDFBB"/>
        </right>
        <top style="thin">
          <color rgb="FFBBDFBB"/>
        </top>
        <bottom style="thin">
          <color rgb="FFBBDFBB"/>
        </bottom>
        <vertical style="thin">
          <color rgb="FFBBDFBB"/>
        </vertical>
        <horizontal style="thin">
          <color rgb="FFBBDFBB"/>
        </horizontal>
      </border>
    </dxf>
    <dxf>
      <border>
        <top style="thin">
          <color rgb="FFBBDFBB"/>
        </top>
      </border>
    </dxf>
    <dxf>
      <border diagonalUp="0" diagonalDown="0">
        <left style="thin">
          <color rgb="FFBBDFBB"/>
        </left>
        <right style="thin">
          <color rgb="FFBBDFBB"/>
        </right>
        <top style="thin">
          <color rgb="FFBBDFBB"/>
        </top>
        <bottom style="thin">
          <color rgb="FFBBDFBB"/>
        </bottom>
      </border>
    </dxf>
    <dxf>
      <font>
        <strike val="0"/>
        <outline val="0"/>
        <shadow val="0"/>
        <u val="none"/>
        <vertAlign val="baseline"/>
        <sz val="10"/>
        <color theme="1"/>
        <name val="Arial"/>
        <family val="2"/>
        <scheme val="none"/>
      </font>
    </dxf>
    <dxf>
      <border>
        <bottom style="thin">
          <color rgb="FFBBDFBB"/>
        </bottom>
      </border>
    </dxf>
    <dxf>
      <font>
        <strike val="0"/>
        <outline val="0"/>
        <shadow val="0"/>
        <u val="none"/>
        <vertAlign val="baseline"/>
        <sz val="10"/>
        <color theme="1"/>
        <name val="Arial"/>
        <family val="2"/>
        <scheme val="none"/>
      </font>
      <fill>
        <patternFill patternType="solid">
          <fgColor indexed="64"/>
          <bgColor rgb="FF1B657C"/>
        </patternFill>
      </fill>
      <alignment horizontal="general" vertical="center" textRotation="0" wrapText="1" indent="0" justifyLastLine="0" shrinkToFit="0" readingOrder="0"/>
      <border diagonalUp="0" diagonalDown="0">
        <left style="thin">
          <color rgb="FFBBDFBB"/>
        </left>
        <right style="thin">
          <color rgb="FFBBDFBB"/>
        </right>
        <top/>
        <bottom/>
        <vertical style="thin">
          <color rgb="FFBBDFBB"/>
        </vertical>
        <horizontal style="thin">
          <color rgb="FFBBDFBB"/>
        </horizontal>
      </border>
    </dxf>
    <dxf>
      <alignment horizontal="center"/>
    </dxf>
    <dxf>
      <alignment horizontal="center"/>
    </dxf>
    <dxf>
      <font>
        <sz val="8"/>
      </font>
    </dxf>
    <dxf>
      <font>
        <sz val="10"/>
      </font>
    </dxf>
    <dxf>
      <font>
        <color rgb="FF1B657C"/>
      </font>
    </dxf>
  </dxfs>
  <tableStyles count="3" defaultTableStyle="TableStyleMedium2" defaultPivotStyle="PivotStyleLight16">
    <tableStyle name="Slicer Style 1" pivot="0" table="0" count="1" xr9:uid="{C60C4800-25A2-42DC-B0E0-759B52403C27}">
      <tableStyleElement type="wholeTable" dxfId="85"/>
    </tableStyle>
    <tableStyle name="Slicer Style 2" pivot="0" table="0" count="1" xr9:uid="{6CD637DD-A412-4FFC-A3E2-879AF9EE74BC}">
      <tableStyleElement type="wholeTable" dxfId="84"/>
    </tableStyle>
    <tableStyle name="Slicer Style 3" pivot="0" table="0" count="1" xr9:uid="{B6D6E544-F87D-4870-A3DE-4F731F87912F}">
      <tableStyleElement type="wholeTable" dxfId="83"/>
    </tableStyle>
  </tableStyles>
  <colors>
    <mruColors>
      <color rgb="FFBBDFBB"/>
      <color rgb="FFADDEED"/>
      <color rgb="FF1B657C"/>
      <color rgb="FFD6EEF6"/>
      <color rgb="FF6FC5BC"/>
      <color rgb="FF4595AD"/>
      <color rgb="FF2B87C8"/>
      <color rgb="FFF8696B"/>
      <color rgb="FFFCE4D6"/>
      <color rgb="FFE2DBBC"/>
    </mruColors>
  </colors>
  <extLst>
    <ext xmlns:x14="http://schemas.microsoft.com/office/spreadsheetml/2009/9/main" uri="{EB79DEF2-80B8-43e5-95BD-54CBDDF9020C}">
      <x14:slicerStyles defaultSlicerStyle="SlicerStyleLight1">
        <x14:slicerStyle name="Slicer Style 1"/>
        <x14:slicerStyle name="Slicer Style 2"/>
        <x14:slicerStyle name="Slicer Style 3"/>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microsoft.com/office/2007/relationships/slicerCache" Target="slicerCaches/slicerCache2.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49394</xdr:colOff>
      <xdr:row>0</xdr:row>
      <xdr:rowOff>49215</xdr:rowOff>
    </xdr:from>
    <xdr:to>
      <xdr:col>27</xdr:col>
      <xdr:colOff>1065212</xdr:colOff>
      <xdr:row>2</xdr:row>
      <xdr:rowOff>134915</xdr:rowOff>
    </xdr:to>
    <xdr:pic>
      <xdr:nvPicPr>
        <xdr:cNvPr id="6" name="Picture 5">
          <a:extLst>
            <a:ext uri="{FF2B5EF4-FFF2-40B4-BE49-F238E27FC236}">
              <a16:creationId xmlns:a16="http://schemas.microsoft.com/office/drawing/2014/main" id="{EA50E92C-B344-436D-A257-87FCC09851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70769" y="49215"/>
          <a:ext cx="1015818" cy="911200"/>
        </a:xfrm>
        <a:prstGeom prst="rect">
          <a:avLst/>
        </a:prstGeom>
      </xdr:spPr>
    </xdr:pic>
    <xdr:clientData/>
  </xdr:twoCellAnchor>
  <xdr:twoCellAnchor editAs="oneCell">
    <xdr:from>
      <xdr:col>26</xdr:col>
      <xdr:colOff>412221</xdr:colOff>
      <xdr:row>0</xdr:row>
      <xdr:rowOff>0</xdr:rowOff>
    </xdr:from>
    <xdr:to>
      <xdr:col>26</xdr:col>
      <xdr:colOff>1477963</xdr:colOff>
      <xdr:row>2</xdr:row>
      <xdr:rowOff>87947</xdr:rowOff>
    </xdr:to>
    <xdr:pic>
      <xdr:nvPicPr>
        <xdr:cNvPr id="7" name="Picture 6">
          <a:extLst>
            <a:ext uri="{FF2B5EF4-FFF2-40B4-BE49-F238E27FC236}">
              <a16:creationId xmlns:a16="http://schemas.microsoft.com/office/drawing/2014/main" id="{2AE0E50F-9C46-485C-92DA-49DCDCAB52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80921" y="0"/>
          <a:ext cx="1065742" cy="849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2185640</xdr:colOff>
      <xdr:row>0</xdr:row>
      <xdr:rowOff>33418</xdr:rowOff>
    </xdr:from>
    <xdr:to>
      <xdr:col>23</xdr:col>
      <xdr:colOff>916519</xdr:colOff>
      <xdr:row>3</xdr:row>
      <xdr:rowOff>30129</xdr:rowOff>
    </xdr:to>
    <xdr:pic>
      <xdr:nvPicPr>
        <xdr:cNvPr id="2" name="Picture 1">
          <a:extLst>
            <a:ext uri="{FF2B5EF4-FFF2-40B4-BE49-F238E27FC236}">
              <a16:creationId xmlns:a16="http://schemas.microsoft.com/office/drawing/2014/main" id="{3FAA9DD7-7455-42AF-AD28-CC410777D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16015" y="214393"/>
          <a:ext cx="1099429" cy="933336"/>
        </a:xfrm>
        <a:prstGeom prst="rect">
          <a:avLst/>
        </a:prstGeom>
      </xdr:spPr>
    </xdr:pic>
    <xdr:clientData/>
  </xdr:twoCellAnchor>
  <xdr:twoCellAnchor editAs="oneCell">
    <xdr:from>
      <xdr:col>22</xdr:col>
      <xdr:colOff>838200</xdr:colOff>
      <xdr:row>0</xdr:row>
      <xdr:rowOff>0</xdr:rowOff>
    </xdr:from>
    <xdr:to>
      <xdr:col>22</xdr:col>
      <xdr:colOff>2026782</xdr:colOff>
      <xdr:row>2</xdr:row>
      <xdr:rowOff>373297</xdr:rowOff>
    </xdr:to>
    <xdr:pic>
      <xdr:nvPicPr>
        <xdr:cNvPr id="3" name="Picture 2">
          <a:extLst>
            <a:ext uri="{FF2B5EF4-FFF2-40B4-BE49-F238E27FC236}">
              <a16:creationId xmlns:a16="http://schemas.microsoft.com/office/drawing/2014/main" id="{06E93E38-566C-4D3C-B2E5-595A660591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8575" y="180975"/>
          <a:ext cx="1188582" cy="935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125664</xdr:colOff>
      <xdr:row>1</xdr:row>
      <xdr:rowOff>66675</xdr:rowOff>
    </xdr:from>
    <xdr:to>
      <xdr:col>10</xdr:col>
      <xdr:colOff>11896</xdr:colOff>
      <xdr:row>4</xdr:row>
      <xdr:rowOff>25684</xdr:rowOff>
    </xdr:to>
    <xdr:pic>
      <xdr:nvPicPr>
        <xdr:cNvPr id="2" name="Picture 1">
          <a:extLst>
            <a:ext uri="{FF2B5EF4-FFF2-40B4-BE49-F238E27FC236}">
              <a16:creationId xmlns:a16="http://schemas.microsoft.com/office/drawing/2014/main" id="{5AA86252-027C-4258-9A9D-585BD0D29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4264" y="247650"/>
          <a:ext cx="924457" cy="892459"/>
        </a:xfrm>
        <a:prstGeom prst="rect">
          <a:avLst/>
        </a:prstGeom>
      </xdr:spPr>
    </xdr:pic>
    <xdr:clientData/>
  </xdr:twoCellAnchor>
  <xdr:twoCellAnchor editAs="oneCell">
    <xdr:from>
      <xdr:col>8</xdr:col>
      <xdr:colOff>657225</xdr:colOff>
      <xdr:row>1</xdr:row>
      <xdr:rowOff>0</xdr:rowOff>
    </xdr:from>
    <xdr:to>
      <xdr:col>8</xdr:col>
      <xdr:colOff>1685925</xdr:colOff>
      <xdr:row>3</xdr:row>
      <xdr:rowOff>133070</xdr:rowOff>
    </xdr:to>
    <xdr:pic>
      <xdr:nvPicPr>
        <xdr:cNvPr id="3" name="Picture 2">
          <a:extLst>
            <a:ext uri="{FF2B5EF4-FFF2-40B4-BE49-F238E27FC236}">
              <a16:creationId xmlns:a16="http://schemas.microsoft.com/office/drawing/2014/main" id="{81122308-DEEA-4351-AB4B-A39487D4AD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72750" y="180975"/>
          <a:ext cx="1022350" cy="885545"/>
        </a:xfrm>
        <a:prstGeom prst="rect">
          <a:avLst/>
        </a:prstGeom>
      </xdr:spPr>
    </xdr:pic>
    <xdr:clientData/>
  </xdr:twoCellAnchor>
  <xdr:twoCellAnchor editAs="absolute">
    <xdr:from>
      <xdr:col>12</xdr:col>
      <xdr:colOff>15875</xdr:colOff>
      <xdr:row>5</xdr:row>
      <xdr:rowOff>114299</xdr:rowOff>
    </xdr:from>
    <xdr:to>
      <xdr:col>14</xdr:col>
      <xdr:colOff>530225</xdr:colOff>
      <xdr:row>31</xdr:row>
      <xdr:rowOff>73025</xdr:rowOff>
    </xdr:to>
    <mc:AlternateContent xmlns:mc="http://schemas.openxmlformats.org/markup-compatibility/2006" xmlns:sle15="http://schemas.microsoft.com/office/drawing/2012/slicer">
      <mc:Choice Requires="sle15">
        <xdr:graphicFrame macro="">
          <xdr:nvGraphicFramePr>
            <xdr:cNvPr id="5" name="Admin1">
              <a:extLst>
                <a:ext uri="{FF2B5EF4-FFF2-40B4-BE49-F238E27FC236}">
                  <a16:creationId xmlns:a16="http://schemas.microsoft.com/office/drawing/2014/main" id="{28F61303-BBC7-69FF-B7F8-CEDB5005C456}"/>
                </a:ext>
              </a:extLst>
            </xdr:cNvPr>
            <xdr:cNvGraphicFramePr/>
          </xdr:nvGraphicFramePr>
          <xdr:xfrm>
            <a:off x="0" y="0"/>
            <a:ext cx="0" cy="0"/>
          </xdr:xfrm>
          <a:graphic>
            <a:graphicData uri="http://schemas.microsoft.com/office/drawing/2010/slicer">
              <sle:slicer xmlns:sle="http://schemas.microsoft.com/office/drawing/2010/slicer" name="Admin1"/>
            </a:graphicData>
          </a:graphic>
        </xdr:graphicFrame>
      </mc:Choice>
      <mc:Fallback xmlns="">
        <xdr:sp macro="" textlink="">
          <xdr:nvSpPr>
            <xdr:cNvPr id="0" name=""/>
            <xdr:cNvSpPr>
              <a:spLocks noTextEdit="1"/>
            </xdr:cNvSpPr>
          </xdr:nvSpPr>
          <xdr:spPr>
            <a:xfrm>
              <a:off x="9648825" y="1352549"/>
              <a:ext cx="1835150" cy="47307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571500</xdr:colOff>
      <xdr:row>5</xdr:row>
      <xdr:rowOff>111125</xdr:rowOff>
    </xdr:from>
    <xdr:to>
      <xdr:col>17</xdr:col>
      <xdr:colOff>428625</xdr:colOff>
      <xdr:row>31</xdr:row>
      <xdr:rowOff>53975</xdr:rowOff>
    </xdr:to>
    <mc:AlternateContent xmlns:mc="http://schemas.openxmlformats.org/markup-compatibility/2006" xmlns:sle15="http://schemas.microsoft.com/office/drawing/2012/slicer">
      <mc:Choice Requires="sle15">
        <xdr:graphicFrame macro="">
          <xdr:nvGraphicFramePr>
            <xdr:cNvPr id="6" name="Admin2">
              <a:extLst>
                <a:ext uri="{FF2B5EF4-FFF2-40B4-BE49-F238E27FC236}">
                  <a16:creationId xmlns:a16="http://schemas.microsoft.com/office/drawing/2014/main" id="{AFBAF4E2-AC9B-D30C-F37A-CFB21235E04B}"/>
                </a:ext>
              </a:extLst>
            </xdr:cNvPr>
            <xdr:cNvGraphicFramePr/>
          </xdr:nvGraphicFramePr>
          <xdr:xfrm>
            <a:off x="0" y="0"/>
            <a:ext cx="0" cy="0"/>
          </xdr:xfrm>
          <a:graphic>
            <a:graphicData uri="http://schemas.microsoft.com/office/drawing/2010/slicer">
              <sle:slicer xmlns:sle="http://schemas.microsoft.com/office/drawing/2010/slicer" name="Admin2"/>
            </a:graphicData>
          </a:graphic>
        </xdr:graphicFrame>
      </mc:Choice>
      <mc:Fallback xmlns="">
        <xdr:sp macro="" textlink="">
          <xdr:nvSpPr>
            <xdr:cNvPr id="0" name=""/>
            <xdr:cNvSpPr>
              <a:spLocks noTextEdit="1"/>
            </xdr:cNvSpPr>
          </xdr:nvSpPr>
          <xdr:spPr>
            <a:xfrm>
              <a:off x="11525250" y="1349375"/>
              <a:ext cx="1838325" cy="47148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ne Kezza Yalidanga Nzon Ngou" refreshedDate="45720.66644108796" createdVersion="8" refreshedVersion="8" minRefreshableVersion="3" recordCount="36" xr:uid="{E2C1CEF2-FC30-42FD-A5CB-57231BB637AE}">
  <cacheSource type="worksheet">
    <worksheetSource ref="H4:L40" sheet="Sheet1"/>
  </cacheSource>
  <cacheFields count="5">
    <cacheField name="Admin1" numFmtId="0">
      <sharedItems count="14">
        <s v="Nana-Mambéré"/>
        <s v="Ouham Pendé"/>
        <s v="Ouham-Fafa"/>
        <s v="Bangui"/>
        <s v="Ouham"/>
        <s v="Basse-Kotto"/>
        <s v="Lim-pendé"/>
        <s v="Nana-Gribizi"/>
        <s v="Ombella M'Poko"/>
        <s v="Mbomou"/>
        <s v="Ouaka"/>
        <s v="Haut-Mbomou"/>
        <s v="Lobaye"/>
        <s v="Haute-Kotto"/>
      </sharedItems>
    </cacheField>
    <cacheField name="Admin2" numFmtId="0">
      <sharedItems count="32">
        <s v="Bouar"/>
        <s v="Bozoum"/>
        <s v="Batangafo"/>
        <s v="Kabo"/>
        <s v="Bangui-Kagas"/>
        <s v="Bossangoa"/>
        <s v="Satéma"/>
        <s v="Baboua"/>
        <s v="Zangba"/>
        <s v="Paoua"/>
        <s v="Baoro"/>
        <s v="Bocaranga"/>
        <s v="Kaga-Bandoro"/>
        <s v="Bangui-Centre"/>
        <s v="Bangui-Fleuve"/>
        <s v="Alindao"/>
        <s v="Yaloké"/>
        <s v="Bakouma"/>
        <s v="Abba"/>
        <s v="Koui"/>
        <s v="Ippy"/>
        <s v="Djéma"/>
        <s v="Bouca"/>
        <s v="Bangassou"/>
        <s v="Boda"/>
        <s v="Bossembélé"/>
        <s v="Bossemtélé"/>
        <s v="Taley"/>
        <s v="Yalinga"/>
        <s v="Mbaïki"/>
        <s v="Rafai"/>
        <s v="Bria"/>
      </sharedItems>
    </cacheField>
    <cacheField name="Sites" numFmtId="0">
      <sharedItems containsString="0" containsBlank="1" containsNumber="1" containsInteger="1" minValue="2" maxValue="198"/>
    </cacheField>
    <cacheField name="FA" numFmtId="0">
      <sharedItems containsString="0" containsBlank="1" containsNumber="1" containsInteger="1" minValue="6" maxValue="5883"/>
    </cacheField>
    <cacheField name="Total" numFmtId="0">
      <sharedItems containsSemiMixedTypes="0" containsString="0" containsNumber="1" containsInteger="1" minValue="2" maxValue="588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ne Kezza Yalidanga Nzon Ngou" refreshedDate="45720.690998958336" createdVersion="8" refreshedVersion="8" minRefreshableVersion="3" recordCount="61" xr:uid="{4F9817C5-ABFB-46EC-95CD-0BF8A8F7D2AF}">
  <cacheSource type="worksheet">
    <worksheetSource ref="AG6:AK67" sheet="Sheet1"/>
  </cacheSource>
  <cacheFields count="5">
    <cacheField name="Admin1" numFmtId="0">
      <sharedItems count="16">
        <s v="Haut-Mbomou"/>
        <s v="Nana-Mambéré"/>
        <s v="Ouham-Fafa"/>
        <s v="Bamingui-Bangoran"/>
        <s v="Mbomou"/>
        <s v="Basse-Kotto"/>
        <s v="Ouham"/>
        <s v="Ouham Pendé"/>
        <s v="Kémo"/>
        <s v="Bangui"/>
        <s v="Haute-Kotto"/>
        <s v="Nana-Gribizi"/>
        <s v="Lim-pendé"/>
        <s v="Vakaga"/>
        <s v="Mambéré"/>
        <s v="Ouaka"/>
      </sharedItems>
    </cacheField>
    <cacheField name="Admin2" numFmtId="0">
      <sharedItems/>
    </cacheField>
    <cacheField name="Sites" numFmtId="0">
      <sharedItems containsString="0" containsBlank="1" containsNumber="1" containsInteger="1" minValue="1" maxValue="1969"/>
    </cacheField>
    <cacheField name="FA" numFmtId="0">
      <sharedItems containsString="0" containsBlank="1" containsNumber="1" containsInteger="1" minValue="1" maxValue="5438"/>
    </cacheField>
    <cacheField name="Total" numFmtId="0">
      <sharedItems containsSemiMixedTypes="0" containsString="0" containsNumber="1" containsInteger="1" minValue="1" maxValue="5438"/>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ne Kezza Yalidanga Nzon Ngou" refreshedDate="45806.42716608796" createdVersion="8" refreshedVersion="8" minRefreshableVersion="3" recordCount="180" xr:uid="{B85AA36B-5A62-4397-BF23-7BAC153EDA94}">
  <cacheSource type="worksheet">
    <worksheetSource name="Table5"/>
  </cacheSource>
  <cacheFields count="10">
    <cacheField name="#" numFmtId="0">
      <sharedItems containsSemiMixedTypes="0" containsString="0" containsNumber="1" containsInteger="1" minValue="1" maxValue="180"/>
    </cacheField>
    <cacheField name="Admin1_Pcode" numFmtId="0">
      <sharedItems/>
    </cacheField>
    <cacheField name="Admin1" numFmtId="0">
      <sharedItems count="20">
        <s v="Nana-Mambéré"/>
        <s v="Basse-Kotto"/>
        <s v="Vakaga"/>
        <s v="Bangui"/>
        <s v="Ouaka"/>
        <s v="Lim-pendé"/>
        <s v="Ouham-Fafa"/>
        <s v="Mbomou"/>
        <s v="Lobaye"/>
        <s v="Mambéré-Kadéï"/>
        <s v="Ouham"/>
        <s v="Sangha-Mbaéré"/>
        <s v="Ouham Pendé"/>
        <s v="Ombella M'Poko"/>
        <s v="Nana-Gribizi"/>
        <s v="Mambéré"/>
        <s v="Haute-Kotto"/>
        <s v="Bamingui-Bangoran"/>
        <s v="Kémo"/>
        <s v="Haut-Mbomou"/>
      </sharedItems>
    </cacheField>
    <cacheField name="Admin2_Pcode" numFmtId="0">
      <sharedItems/>
    </cacheField>
    <cacheField name="Admin2" numFmtId="0">
      <sharedItems/>
    </cacheField>
    <cacheField name="Admin3_Pcode" numFmtId="0">
      <sharedItems/>
    </cacheField>
    <cacheField name="Admin3" numFmtId="0">
      <sharedItems/>
    </cacheField>
    <cacheField name="Nbr PDI Sites_x000a_LR*" numFmtId="0">
      <sharedItems containsSemiMixedTypes="0" containsString="0" containsNumber="1" containsInteger="1" minValue="0" maxValue="10572"/>
    </cacheField>
    <cacheField name="Nbr PDI Familles Accueil" numFmtId="0">
      <sharedItems containsSemiMixedTypes="0" containsString="0" containsNumber="1" containsInteger="1" minValue="0" maxValue="35772"/>
    </cacheField>
    <cacheField name="Nbr Total PDI" numFmtId="0">
      <sharedItems containsSemiMixedTypes="0" containsString="0" containsNumber="1" containsInteger="1" minValue="0" maxValue="3585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edy Regis Komaria Mangao" refreshedDate="45810.611683333336" createdVersion="8" refreshedVersion="8" minRefreshableVersion="3" recordCount="107" xr:uid="{66D868A4-7EB2-4F9D-A204-3B9DEB758DD9}">
  <cacheSource type="worksheet">
    <worksheetSource name="Table1"/>
  </cacheSource>
  <cacheFields count="28">
    <cacheField name="Admin1" numFmtId="0">
      <sharedItems count="12">
        <s v="Bamingui-Bangoran"/>
        <s v="Bangui"/>
        <s v="Basse-Kotto"/>
        <s v="Haute-Kotto"/>
        <s v="Haut-Mbomou"/>
        <s v="Mbomou"/>
        <s v="Nana-Gribizi"/>
        <s v="Ouaka"/>
        <s v="Ouham-Fafa"/>
        <s v="Ouham"/>
        <s v="Ouham Pendé"/>
        <s v="Vakaga"/>
      </sharedItems>
    </cacheField>
    <cacheField name="Admin1_Pcode" numFmtId="0">
      <sharedItems/>
    </cacheField>
    <cacheField name="Admin2" numFmtId="0">
      <sharedItems count="23">
        <s v="Ndélé"/>
        <s v="Bangui-Fleuve"/>
        <s v="Alindao"/>
        <s v="Bria"/>
        <s v="Djéma"/>
        <s v="Obo"/>
        <s v="Zémio"/>
        <s v="Bakouma"/>
        <s v="Rafai"/>
        <s v="Bangassou"/>
        <s v="Kaga-Bandoro"/>
        <s v="Bambari"/>
        <s v="Ippy"/>
        <s v="Kouango"/>
        <s v="Bakala"/>
        <s v="Batangafo"/>
        <s v="Kabo"/>
        <s v="Bouca"/>
        <s v="Bossangoa"/>
        <s v="Bocaranga"/>
        <s v="Bozoum"/>
        <s v="Birao"/>
        <s v="Baungassou" u="1"/>
      </sharedItems>
    </cacheField>
    <cacheField name="Admin2_Pcode" numFmtId="0">
      <sharedItems/>
    </cacheField>
    <cacheField name="Admin3" numFmtId="0">
      <sharedItems/>
    </cacheField>
    <cacheField name="Admin3_Pcode" numFmtId="0">
      <sharedItems/>
    </cacheField>
    <cacheField name="Localité" numFmtId="0">
      <sharedItems containsBlank="1"/>
    </cacheField>
    <cacheField name="Nom_Site" numFmtId="0">
      <sharedItems/>
    </cacheField>
    <cacheField name="Type" numFmtId="0">
      <sharedItems/>
    </cacheField>
    <cacheField name="31.12.2024 Individus" numFmtId="165">
      <sharedItems containsString="0" containsBlank="1" containsNumber="1" containsInteger="1" minValue="2" maxValue="10976"/>
    </cacheField>
    <cacheField name="31.12.2024 Ménages" numFmtId="165">
      <sharedItems containsString="0" containsBlank="1" containsNumber="1" containsInteger="1" minValue="2" maxValue="2110"/>
    </cacheField>
    <cacheField name="31.01.2025 Individus" numFmtId="165">
      <sharedItems containsString="0" containsBlank="1" containsNumber="1" containsInteger="1" minValue="2" maxValue="10976"/>
    </cacheField>
    <cacheField name="31.01.2025 Ménages" numFmtId="165">
      <sharedItems containsString="0" containsBlank="1" containsNumber="1" containsInteger="1" minValue="2" maxValue="2110"/>
    </cacheField>
    <cacheField name="28.02.2025 Individus" numFmtId="165">
      <sharedItems containsString="0" containsBlank="1" containsNumber="1" containsInteger="1" minValue="2" maxValue="10286"/>
    </cacheField>
    <cacheField name="28.02.2025 Ménages" numFmtId="165">
      <sharedItems containsString="0" containsBlank="1" containsNumber="1" containsInteger="1" minValue="2" maxValue="1982"/>
    </cacheField>
    <cacheField name="31.03.2025 Individus" numFmtId="165">
      <sharedItems containsString="0" containsBlank="1" containsNumber="1" containsInteger="1" minValue="0" maxValue="9482"/>
    </cacheField>
    <cacheField name="31.03.2025 Ménages" numFmtId="165">
      <sharedItems containsString="0" containsBlank="1" containsNumber="1" containsInteger="1" minValue="0" maxValue="1829"/>
    </cacheField>
    <cacheField name="30.04.2025 Individus" numFmtId="165">
      <sharedItems containsString="0" containsBlank="1" containsNumber="1" containsInteger="1" minValue="0" maxValue="9287"/>
    </cacheField>
    <cacheField name="30.04.2025 Ménages" numFmtId="165">
      <sharedItems containsString="0" containsBlank="1" containsNumber="1" containsInteger="1" minValue="0" maxValue="1794"/>
    </cacheField>
    <cacheField name="Evolution" numFmtId="9">
      <sharedItems containsMixedTypes="1" containsNumber="1" minValue="-0.2706333973128599" maxValue="0.34567901234567899" count="12">
        <e v="#DIV/0!"/>
        <n v="0"/>
        <n v="-2.0565281586163258E-2"/>
        <n v="3.4482758620689655E-2"/>
        <n v="-9.1533180778032033E-2"/>
        <n v="-0.2706333973128599"/>
        <n v="-7.6923076923076927E-2"/>
        <n v="1.6129032258064516E-2"/>
        <n v="4.7619047619047616E-2"/>
        <n v="0.34567901234567899"/>
        <n v="-0.25688073394495414"/>
        <n v="-1.5822784810126583E-2"/>
      </sharedItems>
    </cacheField>
    <cacheField name="Différence" numFmtId="165">
      <sharedItems containsSemiMixedTypes="0" containsString="0" containsNumber="1" containsInteger="1" minValue="-195" maxValue="28"/>
    </cacheField>
    <cacheField name="Nouveaux PDI/Retournés" numFmtId="0">
      <sharedItems count="2">
        <s v="Déplacés"/>
        <s v="Retournés"/>
      </sharedItems>
    </cacheField>
    <cacheField name="Date de la dernière mise à jour" numFmtId="0">
      <sharedItems/>
    </cacheField>
    <cacheField name="Update" numFmtId="0">
      <sharedItems/>
    </cacheField>
    <cacheField name="Presence d'Acteur" numFmtId="0">
      <sharedItems containsBlank="1" count="9">
        <m/>
        <s v="Non"/>
        <s v="Oui"/>
        <s v="COOPI"/>
        <s v="FNOHD"/>
        <s v="INTERSOS"/>
        <s v="MSF"/>
        <s v="CIAUD" u="1"/>
        <s v="GADV/COOPI" u="1"/>
      </sharedItems>
    </cacheField>
    <cacheField name="Site Géré" numFmtId="0">
      <sharedItems containsBlank="1"/>
    </cacheField>
    <cacheField name="Commentaires" numFmtId="0">
      <sharedItems containsBlank="1" longText="1"/>
    </cacheField>
    <cacheField name="Sources de Donné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x v="0"/>
    <m/>
    <n v="5883"/>
    <n v="5883"/>
  </r>
  <r>
    <x v="1"/>
    <x v="1"/>
    <m/>
    <n v="3771"/>
    <n v="3771"/>
  </r>
  <r>
    <x v="2"/>
    <x v="2"/>
    <m/>
    <n v="2329"/>
    <n v="2329"/>
  </r>
  <r>
    <x v="2"/>
    <x v="3"/>
    <m/>
    <n v="1314"/>
    <n v="1314"/>
  </r>
  <r>
    <x v="3"/>
    <x v="4"/>
    <m/>
    <n v="859"/>
    <n v="859"/>
  </r>
  <r>
    <x v="4"/>
    <x v="5"/>
    <m/>
    <n v="857"/>
    <n v="857"/>
  </r>
  <r>
    <x v="5"/>
    <x v="6"/>
    <m/>
    <n v="758"/>
    <n v="758"/>
  </r>
  <r>
    <x v="0"/>
    <x v="7"/>
    <m/>
    <n v="614"/>
    <n v="614"/>
  </r>
  <r>
    <x v="5"/>
    <x v="8"/>
    <m/>
    <n v="476"/>
    <n v="476"/>
  </r>
  <r>
    <x v="6"/>
    <x v="9"/>
    <m/>
    <n v="432"/>
    <n v="432"/>
  </r>
  <r>
    <x v="0"/>
    <x v="10"/>
    <m/>
    <n v="410"/>
    <n v="410"/>
  </r>
  <r>
    <x v="1"/>
    <x v="11"/>
    <m/>
    <n v="382"/>
    <n v="382"/>
  </r>
  <r>
    <x v="7"/>
    <x v="12"/>
    <m/>
    <n v="321"/>
    <n v="321"/>
  </r>
  <r>
    <x v="3"/>
    <x v="13"/>
    <m/>
    <n v="316"/>
    <n v="316"/>
  </r>
  <r>
    <x v="3"/>
    <x v="14"/>
    <m/>
    <n v="216"/>
    <n v="216"/>
  </r>
  <r>
    <x v="3"/>
    <x v="14"/>
    <n v="198"/>
    <m/>
    <n v="198"/>
  </r>
  <r>
    <x v="5"/>
    <x v="15"/>
    <n v="193"/>
    <m/>
    <n v="193"/>
  </r>
  <r>
    <x v="7"/>
    <x v="12"/>
    <n v="168"/>
    <m/>
    <n v="168"/>
  </r>
  <r>
    <x v="8"/>
    <x v="16"/>
    <m/>
    <n v="156"/>
    <n v="156"/>
  </r>
  <r>
    <x v="9"/>
    <x v="17"/>
    <n v="132"/>
    <m/>
    <n v="132"/>
  </r>
  <r>
    <x v="0"/>
    <x v="18"/>
    <m/>
    <n v="96"/>
    <n v="96"/>
  </r>
  <r>
    <x v="2"/>
    <x v="3"/>
    <n v="87"/>
    <m/>
    <n v="87"/>
  </r>
  <r>
    <x v="1"/>
    <x v="19"/>
    <m/>
    <n v="80"/>
    <n v="80"/>
  </r>
  <r>
    <x v="10"/>
    <x v="20"/>
    <n v="79"/>
    <m/>
    <n v="79"/>
  </r>
  <r>
    <x v="11"/>
    <x v="21"/>
    <n v="50"/>
    <m/>
    <n v="50"/>
  </r>
  <r>
    <x v="2"/>
    <x v="22"/>
    <n v="50"/>
    <m/>
    <n v="50"/>
  </r>
  <r>
    <x v="9"/>
    <x v="23"/>
    <m/>
    <n v="48"/>
    <n v="48"/>
  </r>
  <r>
    <x v="12"/>
    <x v="24"/>
    <m/>
    <n v="35"/>
    <n v="35"/>
  </r>
  <r>
    <x v="8"/>
    <x v="25"/>
    <m/>
    <n v="30"/>
    <n v="30"/>
  </r>
  <r>
    <x v="1"/>
    <x v="26"/>
    <m/>
    <n v="27"/>
    <n v="27"/>
  </r>
  <r>
    <x v="6"/>
    <x v="27"/>
    <m/>
    <n v="21"/>
    <n v="21"/>
  </r>
  <r>
    <x v="13"/>
    <x v="28"/>
    <m/>
    <n v="12"/>
    <n v="12"/>
  </r>
  <r>
    <x v="12"/>
    <x v="29"/>
    <m/>
    <n v="12"/>
    <n v="12"/>
  </r>
  <r>
    <x v="9"/>
    <x v="30"/>
    <n v="11"/>
    <m/>
    <n v="11"/>
  </r>
  <r>
    <x v="13"/>
    <x v="31"/>
    <m/>
    <n v="6"/>
    <n v="6"/>
  </r>
  <r>
    <x v="2"/>
    <x v="2"/>
    <n v="2"/>
    <m/>
    <n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x v="0"/>
    <s v="Zémio"/>
    <m/>
    <n v="5438"/>
    <n v="5438"/>
  </r>
  <r>
    <x v="1"/>
    <s v="Bouar"/>
    <m/>
    <n v="5107"/>
    <n v="5107"/>
  </r>
  <r>
    <x v="2"/>
    <s v="Batangafo"/>
    <m/>
    <n v="4232"/>
    <n v="4232"/>
  </r>
  <r>
    <x v="3"/>
    <s v="Ndélé"/>
    <m/>
    <n v="3929"/>
    <n v="3929"/>
  </r>
  <r>
    <x v="4"/>
    <s v="Bakouma"/>
    <m/>
    <n v="3672"/>
    <n v="3672"/>
  </r>
  <r>
    <x v="5"/>
    <s v="Mingala"/>
    <m/>
    <n v="3008"/>
    <n v="3008"/>
  </r>
  <r>
    <x v="2"/>
    <s v="Sido"/>
    <m/>
    <n v="2205"/>
    <n v="2205"/>
  </r>
  <r>
    <x v="6"/>
    <s v="Markounda"/>
    <m/>
    <n v="2184"/>
    <n v="2184"/>
  </r>
  <r>
    <x v="6"/>
    <s v="Nangha Boguila"/>
    <m/>
    <n v="2076"/>
    <n v="2076"/>
  </r>
  <r>
    <x v="7"/>
    <s v="Bocaranga"/>
    <n v="1969"/>
    <m/>
    <n v="1969"/>
  </r>
  <r>
    <x v="0"/>
    <s v="Mboki"/>
    <m/>
    <n v="1363"/>
    <n v="1363"/>
  </r>
  <r>
    <x v="8"/>
    <s v="Dékoa"/>
    <m/>
    <n v="1159"/>
    <n v="1159"/>
  </r>
  <r>
    <x v="6"/>
    <s v="Nana-Bakassa"/>
    <m/>
    <n v="1121"/>
    <n v="1121"/>
  </r>
  <r>
    <x v="4"/>
    <s v="Rafai"/>
    <m/>
    <n v="1083"/>
    <n v="1083"/>
  </r>
  <r>
    <x v="5"/>
    <s v="Mobaye"/>
    <m/>
    <n v="1030"/>
    <n v="1030"/>
  </r>
  <r>
    <x v="0"/>
    <s v="Zémio"/>
    <n v="990"/>
    <m/>
    <n v="990"/>
  </r>
  <r>
    <x v="9"/>
    <s v="Bangui-Fleuve"/>
    <m/>
    <n v="976"/>
    <n v="976"/>
  </r>
  <r>
    <x v="9"/>
    <s v="Bangui-Kagas"/>
    <m/>
    <n v="895"/>
    <n v="895"/>
  </r>
  <r>
    <x v="10"/>
    <s v="Bria"/>
    <m/>
    <n v="878"/>
    <n v="878"/>
  </r>
  <r>
    <x v="5"/>
    <s v="Alindao"/>
    <m/>
    <n v="779"/>
    <n v="779"/>
  </r>
  <r>
    <x v="4"/>
    <s v="Bangassou"/>
    <m/>
    <n v="734"/>
    <n v="734"/>
  </r>
  <r>
    <x v="11"/>
    <s v="Kaga-Bandoro"/>
    <m/>
    <n v="734"/>
    <n v="734"/>
  </r>
  <r>
    <x v="8"/>
    <s v="Sibut"/>
    <m/>
    <n v="730"/>
    <n v="730"/>
  </r>
  <r>
    <x v="3"/>
    <s v="Bamingui"/>
    <m/>
    <n v="698"/>
    <n v="698"/>
  </r>
  <r>
    <x v="6"/>
    <s v="Bossangoa"/>
    <m/>
    <n v="677"/>
    <n v="677"/>
  </r>
  <r>
    <x v="0"/>
    <s v="Obo"/>
    <n v="675"/>
    <m/>
    <n v="675"/>
  </r>
  <r>
    <x v="4"/>
    <s v="Gambo"/>
    <m/>
    <n v="549"/>
    <n v="549"/>
  </r>
  <r>
    <x v="11"/>
    <s v="Nana-Outa"/>
    <m/>
    <n v="518"/>
    <n v="518"/>
  </r>
  <r>
    <x v="2"/>
    <s v="Kabo"/>
    <m/>
    <n v="499"/>
    <n v="499"/>
  </r>
  <r>
    <x v="8"/>
    <s v="Ndjoukou"/>
    <m/>
    <n v="464"/>
    <n v="464"/>
  </r>
  <r>
    <x v="9"/>
    <s v="Bangui-Fleuve"/>
    <n v="456"/>
    <m/>
    <n v="456"/>
  </r>
  <r>
    <x v="8"/>
    <s v="Mala"/>
    <m/>
    <n v="364"/>
    <n v="364"/>
  </r>
  <r>
    <x v="10"/>
    <s v="Ouadda"/>
    <m/>
    <n v="361"/>
    <n v="361"/>
  </r>
  <r>
    <x v="12"/>
    <s v="Kodi"/>
    <m/>
    <n v="300"/>
    <n v="300"/>
  </r>
  <r>
    <x v="11"/>
    <s v="Mbrès"/>
    <m/>
    <n v="292"/>
    <n v="292"/>
  </r>
  <r>
    <x v="10"/>
    <s v="Ouandja Kotto"/>
    <m/>
    <n v="286"/>
    <n v="286"/>
  </r>
  <r>
    <x v="13"/>
    <s v="Birao"/>
    <m/>
    <n v="247"/>
    <n v="247"/>
  </r>
  <r>
    <x v="14"/>
    <s v="Amada-Gaza"/>
    <m/>
    <n v="219"/>
    <n v="219"/>
  </r>
  <r>
    <x v="12"/>
    <s v="Ndim"/>
    <m/>
    <n v="217"/>
    <n v="217"/>
  </r>
  <r>
    <x v="13"/>
    <s v="Birao"/>
    <n v="143"/>
    <m/>
    <n v="143"/>
  </r>
  <r>
    <x v="13"/>
    <s v="Ouandja"/>
    <m/>
    <n v="135"/>
    <n v="135"/>
  </r>
  <r>
    <x v="13"/>
    <s v="Ouanda-Djallé"/>
    <m/>
    <n v="110"/>
    <n v="110"/>
  </r>
  <r>
    <x v="14"/>
    <s v="Carnot"/>
    <m/>
    <n v="98"/>
    <n v="98"/>
  </r>
  <r>
    <x v="5"/>
    <s v="Alindao"/>
    <n v="85"/>
    <m/>
    <n v="85"/>
  </r>
  <r>
    <x v="7"/>
    <s v="Bocaranga"/>
    <m/>
    <n v="70"/>
    <n v="70"/>
  </r>
  <r>
    <x v="3"/>
    <s v="Ndélé"/>
    <n v="67"/>
    <m/>
    <n v="67"/>
  </r>
  <r>
    <x v="2"/>
    <s v="Batangafo"/>
    <n v="59"/>
    <m/>
    <n v="59"/>
  </r>
  <r>
    <x v="0"/>
    <s v="Obo"/>
    <m/>
    <n v="59"/>
    <n v="59"/>
  </r>
  <r>
    <x v="0"/>
    <s v="Djéma"/>
    <m/>
    <n v="50"/>
    <n v="50"/>
  </r>
  <r>
    <x v="9"/>
    <s v="Bangui-Rapide"/>
    <m/>
    <n v="40"/>
    <n v="40"/>
  </r>
  <r>
    <x v="12"/>
    <s v="Taley"/>
    <m/>
    <n v="39"/>
    <n v="39"/>
  </r>
  <r>
    <x v="2"/>
    <s v="Bouca"/>
    <n v="33"/>
    <m/>
    <n v="33"/>
  </r>
  <r>
    <x v="4"/>
    <s v="Ouango"/>
    <m/>
    <n v="33"/>
    <n v="33"/>
  </r>
  <r>
    <x v="0"/>
    <s v="Bambouti"/>
    <m/>
    <n v="17"/>
    <n v="17"/>
  </r>
  <r>
    <x v="15"/>
    <s v="Bambari"/>
    <n v="15"/>
    <m/>
    <n v="15"/>
  </r>
  <r>
    <x v="12"/>
    <s v="Paoua"/>
    <m/>
    <n v="15"/>
    <n v="15"/>
  </r>
  <r>
    <x v="11"/>
    <s v="Kaga-Bandoro"/>
    <n v="12"/>
    <m/>
    <n v="12"/>
  </r>
  <r>
    <x v="2"/>
    <s v="Kabo"/>
    <n v="6"/>
    <m/>
    <n v="6"/>
  </r>
  <r>
    <x v="10"/>
    <s v="Bria"/>
    <n v="2"/>
    <m/>
    <n v="2"/>
  </r>
  <r>
    <x v="4"/>
    <s v="Rafai"/>
    <n v="1"/>
    <m/>
    <n v="1"/>
  </r>
  <r>
    <x v="2"/>
    <s v="Bouca"/>
    <m/>
    <n v="1"/>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n v="1"/>
    <s v="CF22"/>
    <x v="0"/>
    <s v="CF224"/>
    <s v="Abba"/>
    <s v="CF2241"/>
    <s v="Abba"/>
    <n v="0"/>
    <n v="1620"/>
    <n v="1620"/>
  </r>
  <r>
    <n v="2"/>
    <s v="CF61"/>
    <x v="1"/>
    <s v="CF612"/>
    <s v="Alindao"/>
    <s v="CF6121"/>
    <s v="Alindao"/>
    <n v="10572"/>
    <n v="1267"/>
    <n v="11839"/>
  </r>
  <r>
    <n v="3"/>
    <s v="CF53"/>
    <x v="2"/>
    <s v="CF534"/>
    <s v="Amdafock"/>
    <s v="CF5341"/>
    <s v="Amdafock"/>
    <n v="0"/>
    <n v="0"/>
    <n v="0"/>
  </r>
  <r>
    <n v="4"/>
    <s v="CF71"/>
    <x v="3"/>
    <s v="CF714"/>
    <s v="Bangui-Rapide"/>
    <s v="CF7141"/>
    <s v="Arrondissement 1"/>
    <n v="0"/>
    <n v="235"/>
    <n v="235"/>
  </r>
  <r>
    <n v="5"/>
    <s v="CF71"/>
    <x v="3"/>
    <s v="CF713"/>
    <s v="Bangui-Fleuve"/>
    <s v="CF7132"/>
    <s v="Arrondissement 2"/>
    <n v="828"/>
    <n v="5836"/>
    <n v="6664"/>
  </r>
  <r>
    <n v="6"/>
    <s v="CF71"/>
    <x v="3"/>
    <s v="CF711"/>
    <s v="Bangui-Centre"/>
    <s v="CF7113"/>
    <s v="Arrondissement 3"/>
    <n v="0"/>
    <n v="28755"/>
    <n v="28755"/>
  </r>
  <r>
    <n v="7"/>
    <s v="CF71"/>
    <x v="3"/>
    <s v="CF712"/>
    <s v="Bangui-Kagas"/>
    <s v="CF7124"/>
    <s v="Arrondissement 4"/>
    <n v="0"/>
    <n v="3473"/>
    <n v="3473"/>
  </r>
  <r>
    <n v="8"/>
    <s v="CF71"/>
    <x v="3"/>
    <s v="CF711"/>
    <s v="Bangui-Centre"/>
    <s v="CF7115"/>
    <s v="Arrondissement 5"/>
    <n v="0"/>
    <n v="7156"/>
    <n v="7156"/>
  </r>
  <r>
    <n v="9"/>
    <s v="CF71"/>
    <x v="3"/>
    <s v="CF713"/>
    <s v="Bangui-Fleuve"/>
    <s v="CF7136"/>
    <s v="Arrondissement 6"/>
    <n v="0"/>
    <n v="5256"/>
    <n v="5256"/>
  </r>
  <r>
    <n v="10"/>
    <s v="CF71"/>
    <x v="3"/>
    <s v="CF714"/>
    <s v="Bangui-Rapide"/>
    <s v="CF7147"/>
    <s v="Arrondissement 7"/>
    <n v="0"/>
    <n v="150"/>
    <n v="150"/>
  </r>
  <r>
    <n v="11"/>
    <s v="CF71"/>
    <x v="3"/>
    <s v="CF712"/>
    <s v="Bangui-Kagas"/>
    <s v="CF7128"/>
    <s v="Arrondissement 8"/>
    <n v="0"/>
    <n v="3008"/>
    <n v="3008"/>
  </r>
  <r>
    <n v="12"/>
    <s v="CF43"/>
    <x v="4"/>
    <s v="CF434"/>
    <s v="Kouango"/>
    <s v="CF4342"/>
    <s v="Azéngué-Mindou"/>
    <n v="0"/>
    <n v="147"/>
    <n v="147"/>
  </r>
  <r>
    <n v="13"/>
    <s v="CF22"/>
    <x v="0"/>
    <s v="CF223"/>
    <s v="Baboua"/>
    <s v="CF2231"/>
    <s v="Baboua"/>
    <n v="0"/>
    <n v="1957"/>
    <n v="1957"/>
  </r>
  <r>
    <n v="14"/>
    <s v="CF34"/>
    <x v="5"/>
    <s v="CF341"/>
    <s v="Paoua"/>
    <s v="CF3412"/>
    <s v="Bah-Bessar"/>
    <n v="0"/>
    <n v="186"/>
    <n v="186"/>
  </r>
  <r>
    <n v="15"/>
    <s v="CF43"/>
    <x v="4"/>
    <s v="CF435"/>
    <s v="Ippy"/>
    <s v="CF4353"/>
    <s v="Baïdou-Ngoumbourou"/>
    <n v="0"/>
    <n v="713"/>
    <n v="713"/>
  </r>
  <r>
    <n v="16"/>
    <s v="CF33"/>
    <x v="6"/>
    <s v="CF331"/>
    <s v="Batangafo"/>
    <s v="CF3315"/>
    <s v="Bakassa"/>
    <n v="0"/>
    <n v="515"/>
    <n v="515"/>
  </r>
  <r>
    <n v="17"/>
    <s v="CF61"/>
    <x v="1"/>
    <s v="CF612"/>
    <s v="Alindao"/>
    <s v="CF6124"/>
    <s v="Bakou"/>
    <n v="0"/>
    <n v="1845"/>
    <n v="1845"/>
  </r>
  <r>
    <n v="18"/>
    <s v="CF62"/>
    <x v="7"/>
    <s v="CF625"/>
    <s v="Bakouma"/>
    <s v="CF6251"/>
    <s v="Bakouma"/>
    <n v="3634"/>
    <n v="3076"/>
    <n v="6710"/>
  </r>
  <r>
    <n v="19"/>
    <s v="CF12"/>
    <x v="8"/>
    <s v="CF121"/>
    <s v="Mbaïki"/>
    <s v="CF1218"/>
    <s v="Balé-Loko"/>
    <n v="0"/>
    <n v="0"/>
    <n v="0"/>
  </r>
  <r>
    <n v="20"/>
    <s v="CF43"/>
    <x v="4"/>
    <s v="CF431"/>
    <s v="Bambari"/>
    <s v="CF4311"/>
    <s v="Bambari"/>
    <n v="5600"/>
    <n v="4843"/>
    <n v="10443"/>
  </r>
  <r>
    <n v="21"/>
    <s v="CF62"/>
    <x v="7"/>
    <s v="CF621"/>
    <s v="Bangassou"/>
    <s v="CF6211"/>
    <s v="Bangassou"/>
    <n v="855"/>
    <n v="253"/>
    <n v="1108"/>
  </r>
  <r>
    <n v="22"/>
    <s v="CF61"/>
    <x v="1"/>
    <s v="CF612"/>
    <s v="Alindao"/>
    <s v="CF6123"/>
    <s v="Bangui-Ketté"/>
    <n v="0"/>
    <n v="0"/>
    <n v="0"/>
  </r>
  <r>
    <n v="23"/>
    <s v="CF34"/>
    <x v="5"/>
    <s v="CF341"/>
    <s v="Paoua"/>
    <s v="CF3415"/>
    <s v="Banh"/>
    <n v="0"/>
    <n v="292"/>
    <n v="292"/>
  </r>
  <r>
    <n v="24"/>
    <s v="CF21"/>
    <x v="9"/>
    <s v="CF211"/>
    <s v="Berbérati"/>
    <s v="CF2115"/>
    <s v="Basse-Batouri"/>
    <n v="0"/>
    <n v="578"/>
    <n v="578"/>
  </r>
  <r>
    <n v="25"/>
    <s v="CF21"/>
    <x v="9"/>
    <s v="CF212"/>
    <s v="Gamboula"/>
    <s v="CF2121"/>
    <s v="Basse-Boumné"/>
    <n v="0"/>
    <n v="1925"/>
    <n v="1925"/>
  </r>
  <r>
    <n v="26"/>
    <s v="CF21"/>
    <x v="9"/>
    <s v="CF215"/>
    <s v="Sosso-Nakombo"/>
    <s v="CF2151"/>
    <s v="Basse-Kadéi"/>
    <n v="0"/>
    <n v="161"/>
    <n v="161"/>
  </r>
  <r>
    <n v="27"/>
    <s v="CF21"/>
    <x v="9"/>
    <s v="CF211"/>
    <s v="Berbérati"/>
    <s v="CF2114"/>
    <s v="Basse-Mambéré"/>
    <n v="0"/>
    <n v="383"/>
    <n v="383"/>
  </r>
  <r>
    <n v="28"/>
    <s v="CF33"/>
    <x v="6"/>
    <s v="CF331"/>
    <s v="Batangafo"/>
    <s v="CF3311"/>
    <s v="Batangafo"/>
    <n v="3104"/>
    <n v="15645"/>
    <n v="18749"/>
  </r>
  <r>
    <n v="29"/>
    <s v="CF22"/>
    <x v="0"/>
    <s v="CF222"/>
    <s v="Baoro"/>
    <s v="CF2221"/>
    <s v="Bawi Tédoa"/>
    <n v="0"/>
    <n v="3609"/>
    <n v="3609"/>
  </r>
  <r>
    <n v="30"/>
    <s v="CF22"/>
    <x v="0"/>
    <s v="CF221"/>
    <s v="Bouar"/>
    <s v="CF2216"/>
    <s v="Béa-Nana"/>
    <n v="0"/>
    <n v="1372"/>
    <n v="1372"/>
  </r>
  <r>
    <n v="31"/>
    <s v="CF33"/>
    <x v="6"/>
    <s v="CF331"/>
    <s v="Batangafo"/>
    <s v="CF3312"/>
    <s v="Bédé"/>
    <n v="0"/>
    <n v="2655"/>
    <n v="2655"/>
  </r>
  <r>
    <n v="32"/>
    <s v="CF71"/>
    <x v="3"/>
    <s v="CF713"/>
    <s v="Bangui-Fleuve"/>
    <s v="CF7134"/>
    <s v="Bégoua"/>
    <n v="0"/>
    <n v="0"/>
    <n v="0"/>
  </r>
  <r>
    <n v="33"/>
    <s v="CF32"/>
    <x v="10"/>
    <s v="CF321"/>
    <s v="Bossangoa"/>
    <s v="CF3214"/>
    <s v="Ben Zambé"/>
    <n v="0"/>
    <n v="1605"/>
    <n v="1605"/>
  </r>
  <r>
    <n v="34"/>
    <s v="CF21"/>
    <x v="9"/>
    <s v="CF211"/>
    <s v="Berbérati"/>
    <s v="CF2111"/>
    <s v="Berbérati"/>
    <n v="0"/>
    <n v="4212"/>
    <n v="4212"/>
  </r>
  <r>
    <n v="35"/>
    <s v="CF23"/>
    <x v="11"/>
    <s v="CF231"/>
    <s v="Nola"/>
    <s v="CF2312"/>
    <s v="Bilolo"/>
    <n v="0"/>
    <n v="1325"/>
    <n v="1325"/>
  </r>
  <r>
    <n v="36"/>
    <s v="CF34"/>
    <x v="5"/>
    <s v="CF345"/>
    <s v="Taley"/>
    <s v="CF3453"/>
    <s v="Bimbi"/>
    <n v="0"/>
    <n v="0"/>
    <n v="0"/>
  </r>
  <r>
    <n v="37"/>
    <s v="CF71"/>
    <x v="3"/>
    <s v="CF713"/>
    <s v="Bangui-Fleuve"/>
    <s v="CF7133"/>
    <s v="Bimbo"/>
    <n v="81"/>
    <n v="35772"/>
    <n v="35853"/>
  </r>
  <r>
    <n v="38"/>
    <s v="CF22"/>
    <x v="0"/>
    <s v="CF223"/>
    <s v="Baboua"/>
    <s v="CF2233"/>
    <s v="Bingué"/>
    <n v="0"/>
    <n v="265"/>
    <n v="265"/>
  </r>
  <r>
    <n v="39"/>
    <s v="CF31"/>
    <x v="12"/>
    <s v="CF316"/>
    <s v="Bossemtélé"/>
    <s v="CF3161"/>
    <s v="Binon"/>
    <n v="0"/>
    <n v="2706"/>
    <n v="2706"/>
  </r>
  <r>
    <n v="40"/>
    <s v="CF31"/>
    <x v="12"/>
    <s v="CF311"/>
    <s v="Bozoum"/>
    <s v="CF3113"/>
    <s v="Birvan-Bolé"/>
    <n v="0"/>
    <n v="0"/>
    <n v="0"/>
  </r>
  <r>
    <n v="41"/>
    <s v="CF12"/>
    <x v="13"/>
    <s v="CF114"/>
    <s v="Boali"/>
    <s v="CF1141"/>
    <s v="Boali"/>
    <n v="0"/>
    <n v="1198"/>
    <n v="1198"/>
  </r>
  <r>
    <n v="42"/>
    <s v="CF31"/>
    <x v="12"/>
    <s v="CF312"/>
    <s v="Bocaranga"/>
    <s v="CF3121"/>
    <s v="Bocaranga"/>
    <n v="696"/>
    <n v="3255"/>
    <n v="3951"/>
  </r>
  <r>
    <n v="43"/>
    <s v="CF12"/>
    <x v="8"/>
    <s v="CF124"/>
    <s v="Boganangone"/>
    <s v="CF1241"/>
    <s v="Boganangone"/>
    <n v="0"/>
    <n v="465"/>
    <n v="465"/>
  </r>
  <r>
    <n v="44"/>
    <s v="CF12"/>
    <x v="8"/>
    <s v="CF125"/>
    <s v="Boganda"/>
    <s v="CF1251"/>
    <s v="Boganda"/>
    <n v="0"/>
    <n v="0"/>
    <n v="0"/>
  </r>
  <r>
    <n v="45"/>
    <s v="CF11"/>
    <x v="13"/>
    <s v="CF113"/>
    <s v="Bogangolo"/>
    <s v="CF1131"/>
    <s v="Bogangolo"/>
    <n v="0"/>
    <n v="3385"/>
    <n v="3385"/>
  </r>
  <r>
    <n v="46"/>
    <s v="CF12"/>
    <x v="8"/>
    <s v="CF121"/>
    <s v="Mbaïki"/>
    <s v="CF1214"/>
    <s v="Bogongo Gaza"/>
    <n v="0"/>
    <n v="0"/>
    <n v="0"/>
  </r>
  <r>
    <n v="47"/>
    <s v="CF32"/>
    <x v="10"/>
    <s v="CF321"/>
    <s v="Bossangoa"/>
    <s v="CF3211"/>
    <s v="Bossangoa"/>
    <n v="0"/>
    <n v="2819"/>
    <n v="2819"/>
  </r>
  <r>
    <n v="48"/>
    <s v="CF11"/>
    <x v="13"/>
    <s v="CF115"/>
    <s v="Bossembélé"/>
    <s v="CF1151"/>
    <s v="Bossembélé"/>
    <n v="0"/>
    <n v="2577"/>
    <n v="2577"/>
  </r>
  <r>
    <n v="49"/>
    <s v="CF42"/>
    <x v="14"/>
    <s v="CF421"/>
    <s v="Kaga-Bandoro"/>
    <s v="CF4212"/>
    <s v="Botto"/>
    <n v="0"/>
    <n v="96"/>
    <n v="96"/>
  </r>
  <r>
    <n v="50"/>
    <s v="CF22"/>
    <x v="0"/>
    <s v="CF221"/>
    <s v="Bouar"/>
    <s v="CF2211"/>
    <s v="Bouar"/>
    <n v="0"/>
    <n v="4050"/>
    <n v="4050"/>
  </r>
  <r>
    <n v="51"/>
    <s v="CF33"/>
    <x v="6"/>
    <s v="CF333"/>
    <s v="Bouca"/>
    <s v="CF3331"/>
    <s v="Bouca Bobo"/>
    <n v="635"/>
    <n v="5089"/>
    <n v="5724"/>
  </r>
  <r>
    <n v="52"/>
    <s v="CF31"/>
    <x v="12"/>
    <s v="CF311"/>
    <s v="Bozoum"/>
    <s v="CF3111"/>
    <s v="Bozoum"/>
    <n v="4477"/>
    <n v="2564"/>
    <n v="7041"/>
  </r>
  <r>
    <n v="53"/>
    <s v="CF24"/>
    <x v="15"/>
    <s v="CF241"/>
    <s v="Carnot"/>
    <s v="CF2411"/>
    <s v="Carnot"/>
    <n v="0"/>
    <n v="1522"/>
    <n v="1522"/>
  </r>
  <r>
    <n v="54"/>
    <s v="CF43"/>
    <x v="4"/>
    <s v="CF434"/>
    <s v="Kouango"/>
    <s v="CF4343"/>
    <s v="Cochio-Toulou"/>
    <n v="0"/>
    <n v="1051"/>
    <n v="1051"/>
  </r>
  <r>
    <n v="55"/>
    <s v="CF52"/>
    <x v="16"/>
    <s v="CF521"/>
    <s v="Bria"/>
    <s v="CF5212"/>
    <s v="Daba Nydou"/>
    <n v="0"/>
    <n v="208"/>
    <n v="208"/>
  </r>
  <r>
    <n v="56"/>
    <s v="CF52"/>
    <x v="16"/>
    <s v="CF521"/>
    <s v="Bria"/>
    <s v="CF5213"/>
    <s v="Daho-Mboutou"/>
    <n v="0"/>
    <n v="102"/>
    <n v="102"/>
  </r>
  <r>
    <n v="57"/>
    <s v="CF11"/>
    <x v="13"/>
    <s v="CF112"/>
    <s v="Damara"/>
    <s v="CF1121"/>
    <s v="Damara"/>
    <n v="0"/>
    <n v="3589"/>
    <n v="3589"/>
  </r>
  <r>
    <n v="58"/>
    <s v="CF31"/>
    <x v="12"/>
    <s v="CF311"/>
    <s v="Bozoum"/>
    <s v="CF3115"/>
    <s v="Danayéré"/>
    <n v="0"/>
    <n v="0"/>
    <n v="0"/>
  </r>
  <r>
    <n v="59"/>
    <s v="CF43"/>
    <x v="4"/>
    <s v="CF431"/>
    <s v="Bambari"/>
    <s v="CF4312"/>
    <s v="Danga-Gboudou"/>
    <n v="2419"/>
    <n v="6661"/>
    <n v="9080"/>
  </r>
  <r>
    <n v="60"/>
    <s v="CF31"/>
    <x v="12"/>
    <s v="CF311"/>
    <s v="Bozoum"/>
    <s v="CF3112"/>
    <s v="Dan-Gbabiri"/>
    <n v="0"/>
    <n v="0"/>
    <n v="0"/>
  </r>
  <r>
    <n v="61"/>
    <s v="CF51"/>
    <x v="17"/>
    <s v="CF511"/>
    <s v="Ndélé"/>
    <s v="CF5111"/>
    <s v="Dar El Kouti"/>
    <n v="165"/>
    <n v="4435"/>
    <n v="4600"/>
  </r>
  <r>
    <n v="62"/>
    <s v="CF41"/>
    <x v="18"/>
    <s v="CF412"/>
    <s v="Dékoa"/>
    <s v="CF4121"/>
    <s v="Dekoa"/>
    <n v="0"/>
    <n v="2683"/>
    <n v="2683"/>
  </r>
  <r>
    <n v="63"/>
    <s v="CF34"/>
    <x v="5"/>
    <s v="CF343"/>
    <s v="Ndim"/>
    <s v="CF3431"/>
    <s v="Dilouki"/>
    <n v="0"/>
    <n v="123"/>
    <n v="123"/>
  </r>
  <r>
    <n v="64"/>
    <s v="CF63"/>
    <x v="19"/>
    <s v="CF634"/>
    <s v="Djéma"/>
    <s v="CF6341"/>
    <s v="Djéma"/>
    <n v="210"/>
    <n v="246"/>
    <n v="456"/>
  </r>
  <r>
    <n v="65"/>
    <s v="CF22"/>
    <x v="0"/>
    <s v="CF221"/>
    <s v="Bouar"/>
    <s v="CF2217"/>
    <s v="Doaka-Koursou"/>
    <n v="0"/>
    <n v="1184"/>
    <n v="1184"/>
  </r>
  <r>
    <n v="66"/>
    <s v="CF33"/>
    <x v="6"/>
    <s v="CF333"/>
    <s v="Bouca"/>
    <s v="CF3334"/>
    <s v="Fafa Boungou"/>
    <n v="0"/>
    <n v="1685"/>
    <n v="1685"/>
  </r>
  <r>
    <n v="67"/>
    <s v="CF22"/>
    <x v="0"/>
    <s v="CF223"/>
    <s v="Baboua"/>
    <s v="CF2235"/>
    <s v="Fo"/>
    <n v="0"/>
    <n v="988"/>
    <n v="988"/>
  </r>
  <r>
    <n v="68"/>
    <s v="CF41"/>
    <x v="18"/>
    <s v="CF414"/>
    <s v="Ndjoukou"/>
    <s v="CF4142"/>
    <s v="Galabadja"/>
    <n v="0"/>
    <n v="1489"/>
    <n v="1489"/>
  </r>
  <r>
    <n v="69"/>
    <s v="CF41"/>
    <x v="18"/>
    <s v="CF414"/>
    <s v="Ndjoukou"/>
    <s v="CF4141"/>
    <s v="Galafondo"/>
    <n v="0"/>
    <n v="2168"/>
    <n v="2168"/>
  </r>
  <r>
    <n v="70"/>
    <s v="CF62"/>
    <x v="7"/>
    <s v="CF623"/>
    <s v="Gambo"/>
    <s v="CF6231"/>
    <s v="Gambo"/>
    <n v="0"/>
    <n v="585"/>
    <n v="585"/>
  </r>
  <r>
    <n v="71"/>
    <s v="CF22"/>
    <x v="0"/>
    <s v="CF223"/>
    <s v="Baboua"/>
    <s v="CF2232"/>
    <s v="Goudrot"/>
    <n v="0"/>
    <n v="0"/>
    <n v="0"/>
  </r>
  <r>
    <n v="72"/>
    <s v="CF43"/>
    <x v="4"/>
    <s v="CF433"/>
    <s v="Grimari"/>
    <s v="CF4331"/>
    <s v="Grimari"/>
    <n v="0"/>
    <n v="0"/>
    <n v="0"/>
  </r>
  <r>
    <n v="73"/>
    <s v="CF42"/>
    <x v="14"/>
    <s v="CF421"/>
    <s v="Kaga-Bandoro"/>
    <s v="CF4214"/>
    <s v="Grivaï-Pamia"/>
    <n v="5887"/>
    <n v="799"/>
    <n v="6686"/>
  </r>
  <r>
    <n v="74"/>
    <s v="CF11"/>
    <x v="13"/>
    <s v="CF116"/>
    <s v="Yaloké"/>
    <s v="CF1162"/>
    <s v="Guézéli"/>
    <n v="0"/>
    <n v="2875"/>
    <n v="2875"/>
  </r>
  <r>
    <n v="75"/>
    <s v="CF41"/>
    <x v="18"/>
    <s v="CF412"/>
    <s v="Dékoa"/>
    <s v="CF4123"/>
    <s v="Guiffa"/>
    <n v="0"/>
    <n v="661"/>
    <n v="661"/>
  </r>
  <r>
    <n v="76"/>
    <s v="CF61"/>
    <x v="1"/>
    <s v="CF612"/>
    <s v="Alindao"/>
    <s v="CF6122"/>
    <s v="Guiligui"/>
    <n v="0"/>
    <n v="0"/>
    <n v="0"/>
  </r>
  <r>
    <n v="77"/>
    <s v="CF33"/>
    <x v="6"/>
    <s v="CF331"/>
    <s v="Batangafo"/>
    <s v="CF3313"/>
    <s v="Hama"/>
    <n v="0"/>
    <n v="1245"/>
    <n v="1245"/>
  </r>
  <r>
    <n v="78"/>
    <s v="CF43"/>
    <x v="4"/>
    <s v="CF431"/>
    <s v="Bambari"/>
    <s v="CF4315"/>
    <s v="Haute Baïdou"/>
    <n v="0"/>
    <n v="97"/>
    <n v="97"/>
  </r>
  <r>
    <n v="79"/>
    <s v="CF21"/>
    <x v="9"/>
    <s v="CF211"/>
    <s v="Berbérati"/>
    <s v="CF2112"/>
    <s v="Haute-Batouri"/>
    <n v="0"/>
    <n v="197"/>
    <n v="197"/>
  </r>
  <r>
    <n v="80"/>
    <s v="CF24"/>
    <x v="15"/>
    <s v="CF242"/>
    <s v="Amada-Gaza"/>
    <s v="CF2421"/>
    <s v="Haute-Boumbé"/>
    <n v="0"/>
    <n v="1189"/>
    <n v="1189"/>
  </r>
  <r>
    <n v="81"/>
    <s v="CF21"/>
    <x v="9"/>
    <s v="CF216"/>
    <s v="Dédé-Mokouba"/>
    <s v="CF2161"/>
    <s v="Haute-Kadéi"/>
    <n v="0"/>
    <n v="20"/>
    <n v="20"/>
  </r>
  <r>
    <n v="82"/>
    <s v="CF22"/>
    <x v="0"/>
    <s v="CF221"/>
    <s v="Bouar"/>
    <s v="CF2213"/>
    <s v="Herman-Brousse"/>
    <n v="0"/>
    <n v="1836"/>
    <n v="1836"/>
  </r>
  <r>
    <n v="83"/>
    <s v="CF43"/>
    <x v="4"/>
    <s v="CF435"/>
    <s v="Ippy"/>
    <s v="CF4351"/>
    <s v="Ippy"/>
    <n v="2363"/>
    <n v="16758"/>
    <n v="19121"/>
  </r>
  <r>
    <n v="84"/>
    <s v="CF42"/>
    <x v="14"/>
    <s v="CF421"/>
    <s v="Kaga-Bandoro"/>
    <s v="CF4211"/>
    <s v="Kaga-Bandoro"/>
    <n v="851"/>
    <n v="3515"/>
    <n v="4366"/>
  </r>
  <r>
    <n v="85"/>
    <s v="CF61"/>
    <x v="1"/>
    <s v="CF613"/>
    <s v="Kembé"/>
    <s v="CF6131"/>
    <s v="Kembé"/>
    <n v="0"/>
    <n v="345"/>
    <n v="345"/>
  </r>
  <r>
    <n v="86"/>
    <s v="CF43"/>
    <x v="4"/>
    <s v="CF433"/>
    <s v="Grimari"/>
    <s v="CF4332"/>
    <s v="Kobadja"/>
    <n v="0"/>
    <n v="0"/>
    <n v="0"/>
  </r>
  <r>
    <n v="87"/>
    <s v="CF34"/>
    <x v="5"/>
    <s v="CF344"/>
    <s v="Kodi"/>
    <s v="CF3441"/>
    <s v="Kodi"/>
    <n v="0"/>
    <n v="0"/>
    <n v="0"/>
  </r>
  <r>
    <n v="88"/>
    <s v="CF32"/>
    <x v="10"/>
    <s v="CF321"/>
    <s v="Bossangoa"/>
    <s v="CF3213"/>
    <s v="Koro-M'poko"/>
    <n v="0"/>
    <n v="1459"/>
    <n v="1459"/>
  </r>
  <r>
    <n v="89"/>
    <s v="CF61"/>
    <x v="1"/>
    <s v="CF614"/>
    <s v="Mingala"/>
    <s v="CF6142"/>
    <s v="Kotto"/>
    <n v="0"/>
    <n v="250"/>
    <n v="250"/>
  </r>
  <r>
    <n v="90"/>
    <s v="CF61"/>
    <x v="1"/>
    <s v="CF616"/>
    <s v="Satéma"/>
    <s v="CF6161"/>
    <s v="Kotto-Oubangui"/>
    <n v="0"/>
    <n v="988"/>
    <n v="988"/>
  </r>
  <r>
    <n v="91"/>
    <s v="CF43"/>
    <x v="4"/>
    <s v="CF434"/>
    <s v="Kouango"/>
    <s v="CF4341"/>
    <s v="Kouango"/>
    <n v="0"/>
    <n v="1855"/>
    <n v="1855"/>
  </r>
  <r>
    <n v="92"/>
    <s v="CF31"/>
    <x v="12"/>
    <s v="CF311"/>
    <s v="Bozoum"/>
    <s v="CF3114"/>
    <s v="Kouazo"/>
    <n v="0"/>
    <n v="0"/>
    <n v="0"/>
  </r>
  <r>
    <n v="93"/>
    <s v="CF43"/>
    <x v="4"/>
    <s v="CF432"/>
    <s v="Bakala"/>
    <s v="CF4321"/>
    <s v="Koudou-Bégo"/>
    <n v="150"/>
    <n v="93"/>
    <n v="243"/>
  </r>
  <r>
    <n v="94"/>
    <s v="CF31"/>
    <x v="12"/>
    <s v="CF313"/>
    <s v="Koui"/>
    <s v="CF3131"/>
    <s v="Koui"/>
    <n v="0"/>
    <n v="876"/>
    <n v="876"/>
  </r>
  <r>
    <n v="95"/>
    <s v="CF22"/>
    <x v="0"/>
    <s v="CF223"/>
    <s v="Baboua"/>
    <s v="CF2234"/>
    <s v="Koundé"/>
    <n v="0"/>
    <n v="233"/>
    <n v="233"/>
  </r>
  <r>
    <n v="96"/>
    <s v="CF11"/>
    <x v="13"/>
    <s v="CF115"/>
    <s v="Bossembélé"/>
    <s v="CF1152"/>
    <s v="La Mbi"/>
    <n v="0"/>
    <n v="1695"/>
    <n v="1695"/>
  </r>
  <r>
    <n v="97"/>
    <s v="CF33"/>
    <x v="6"/>
    <s v="CF333"/>
    <s v="Bouca"/>
    <s v="CF3332"/>
    <s v="Lady Gbawi"/>
    <n v="570"/>
    <n v="3297"/>
    <n v="3867"/>
  </r>
  <r>
    <n v="98"/>
    <s v="CF12"/>
    <x v="8"/>
    <s v="CF121"/>
    <s v="Mbaïki"/>
    <s v="CF1215"/>
    <s v="Léssé"/>
    <n v="0"/>
    <n v="0"/>
    <n v="0"/>
  </r>
  <r>
    <n v="99"/>
    <s v="CF63"/>
    <x v="19"/>
    <s v="CF632"/>
    <s v="Bambouti"/>
    <s v="CF6321"/>
    <s v="Lili"/>
    <n v="0"/>
    <n v="257"/>
    <n v="257"/>
  </r>
  <r>
    <n v="100"/>
    <s v="CF34"/>
    <x v="5"/>
    <s v="CF342"/>
    <s v="Ngaoundaye"/>
    <s v="CF3421"/>
    <s v="Lim"/>
    <n v="0"/>
    <n v="267"/>
    <n v="267"/>
  </r>
  <r>
    <n v="101"/>
    <s v="CF43"/>
    <x v="4"/>
    <s v="CF433"/>
    <s v="Grimari"/>
    <s v="CF4333"/>
    <s v="Lissa"/>
    <n v="0"/>
    <n v="0"/>
    <n v="0"/>
  </r>
  <r>
    <n v="102"/>
    <s v="CF12"/>
    <x v="8"/>
    <s v="CF123"/>
    <s v="Boda"/>
    <s v="CF1232"/>
    <s v="Lobaye"/>
    <n v="0"/>
    <n v="1757"/>
    <n v="1757"/>
  </r>
  <r>
    <n v="103"/>
    <s v="CF31"/>
    <x v="12"/>
    <s v="CF312"/>
    <s v="Bocaranga"/>
    <s v="CF3122"/>
    <s v="Loura"/>
    <n v="0"/>
    <n v="20"/>
    <n v="20"/>
  </r>
  <r>
    <n v="104"/>
    <s v="CF41"/>
    <x v="18"/>
    <s v="CF413"/>
    <s v="Mala"/>
    <s v="CF4131"/>
    <s v="Mala"/>
    <n v="0"/>
    <n v="1659"/>
    <n v="1659"/>
  </r>
  <r>
    <n v="105"/>
    <s v="CF34"/>
    <x v="5"/>
    <s v="CF345"/>
    <s v="Taley"/>
    <s v="CF3452"/>
    <s v="Malé"/>
    <n v="0"/>
    <n v="943"/>
    <n v="943"/>
  </r>
  <r>
    <n v="106"/>
    <s v="CF23"/>
    <x v="11"/>
    <s v="CF232"/>
    <s v="Bambio"/>
    <s v="CF2321"/>
    <s v="Mbaéré"/>
    <n v="0"/>
    <n v="1584"/>
    <n v="1584"/>
  </r>
  <r>
    <n v="107"/>
    <s v="CF12"/>
    <x v="8"/>
    <s v="CF121"/>
    <s v="Mbaïki"/>
    <s v="CF1211"/>
    <s v="Mbaiki"/>
    <n v="0"/>
    <n v="1892"/>
    <n v="1892"/>
  </r>
  <r>
    <n v="108"/>
    <s v="CF24"/>
    <x v="15"/>
    <s v="CF243"/>
    <s v="Gadzi"/>
    <s v="CF2432"/>
    <s v="Mbali"/>
    <n v="0"/>
    <n v="0"/>
    <n v="0"/>
  </r>
  <r>
    <n v="109"/>
    <s v="CF12"/>
    <x v="8"/>
    <s v="CF121"/>
    <s v="Mbaïki"/>
    <s v="CF1212"/>
    <s v="Mbata"/>
    <n v="0"/>
    <n v="0"/>
    <n v="0"/>
  </r>
  <r>
    <n v="110"/>
    <s v="CF61"/>
    <x v="1"/>
    <s v="CF611"/>
    <s v="Mobaye"/>
    <s v="CF6112"/>
    <s v="Mbéima"/>
    <n v="0"/>
    <n v="245"/>
    <n v="245"/>
  </r>
  <r>
    <n v="111"/>
    <s v="CF34"/>
    <x v="5"/>
    <s v="CF342"/>
    <s v="Ngaoundaye"/>
    <s v="CF3422"/>
    <s v="Mbili"/>
    <n v="0"/>
    <n v="0"/>
    <n v="0"/>
  </r>
  <r>
    <n v="112"/>
    <s v="CF63"/>
    <x v="19"/>
    <s v="CF635"/>
    <s v="Mboki"/>
    <s v="CF6351"/>
    <s v="Mboki"/>
    <n v="0"/>
    <n v="0"/>
    <n v="0"/>
  </r>
  <r>
    <n v="113"/>
    <s v="CF51"/>
    <x v="17"/>
    <s v="CF511"/>
    <s v="Ndélé"/>
    <s v="CF5112"/>
    <s v="Mbolo-Pata"/>
    <n v="0"/>
    <n v="683"/>
    <n v="683"/>
  </r>
  <r>
    <n v="114"/>
    <s v="CF61"/>
    <x v="1"/>
    <s v="CF613"/>
    <s v="Kembé"/>
    <s v="CF6132"/>
    <s v="Mboui"/>
    <n v="0"/>
    <n v="0"/>
    <n v="0"/>
  </r>
  <r>
    <n v="115"/>
    <s v="CF42"/>
    <x v="14"/>
    <s v="CF422"/>
    <s v="Mbrès"/>
    <s v="CF4221"/>
    <s v="Mbrés"/>
    <n v="0"/>
    <n v="2261"/>
    <n v="2261"/>
  </r>
  <r>
    <n v="116"/>
    <s v="CF34"/>
    <x v="5"/>
    <s v="CF341"/>
    <s v="Paoua"/>
    <s v="CF3413"/>
    <s v="Mia-Péndé"/>
    <n v="0"/>
    <n v="420"/>
    <n v="420"/>
  </r>
  <r>
    <n v="117"/>
    <s v="CF61"/>
    <x v="1"/>
    <s v="CF611"/>
    <s v="Mobaye"/>
    <s v="CF6111"/>
    <s v="Mobaye"/>
    <n v="0"/>
    <n v="3420"/>
    <n v="3420"/>
  </r>
  <r>
    <n v="118"/>
    <s v="CF12"/>
    <x v="8"/>
    <s v="CF126"/>
    <s v="Moboma"/>
    <s v="CF1261"/>
    <s v="Moboma"/>
    <n v="0"/>
    <n v="0"/>
    <n v="0"/>
  </r>
  <r>
    <n v="119"/>
    <s v="CF34"/>
    <x v="5"/>
    <s v="CF345"/>
    <s v="Taley"/>
    <s v="CF3451"/>
    <s v="Mom"/>
    <n v="0"/>
    <n v="337"/>
    <n v="337"/>
  </r>
  <r>
    <n v="120"/>
    <s v="CF12"/>
    <x v="8"/>
    <s v="CF122"/>
    <s v="Mongoumba"/>
    <s v="CF1221"/>
    <s v="Mongoumba"/>
    <n v="0"/>
    <n v="0"/>
    <n v="0"/>
  </r>
  <r>
    <n v="121"/>
    <s v="CF33"/>
    <x v="6"/>
    <s v="CF334"/>
    <s v="Sido"/>
    <s v="CF3341"/>
    <s v="Moyenne Sido"/>
    <n v="1388"/>
    <n v="0"/>
    <n v="1388"/>
  </r>
  <r>
    <n v="122"/>
    <s v="CF22"/>
    <x v="0"/>
    <s v="CF224"/>
    <s v="Abba"/>
    <s v="CF2242"/>
    <s v="Nadziboro"/>
    <n v="0"/>
    <n v="0"/>
    <n v="0"/>
  </r>
  <r>
    <n v="123"/>
    <s v="CF32"/>
    <x v="10"/>
    <s v="CF323"/>
    <s v="Markounda"/>
    <s v="CF3231"/>
    <s v="Nana Markounda"/>
    <n v="0"/>
    <n v="5725"/>
    <n v="5725"/>
  </r>
  <r>
    <n v="124"/>
    <s v="CF32"/>
    <x v="10"/>
    <s v="CF322"/>
    <s v="Nana-Bakassa"/>
    <s v="CF3221"/>
    <s v="Nana-Bakassa"/>
    <n v="0"/>
    <n v="5165"/>
    <n v="5165"/>
  </r>
  <r>
    <n v="125"/>
    <s v="CF34"/>
    <x v="5"/>
    <s v="CF341"/>
    <s v="Paoua"/>
    <s v="CF3414"/>
    <s v="Nana-Barya"/>
    <n v="0"/>
    <n v="0"/>
    <n v="0"/>
  </r>
  <r>
    <n v="126"/>
    <s v="CF42"/>
    <x v="14"/>
    <s v="CF423"/>
    <s v="Nana-Outa"/>
    <s v="CF4231"/>
    <s v="Nana-Outa"/>
    <n v="0"/>
    <n v="472"/>
    <n v="472"/>
  </r>
  <r>
    <n v="127"/>
    <s v="CF32"/>
    <x v="10"/>
    <s v="CF324"/>
    <s v="Nangha Boguila"/>
    <s v="CF3241"/>
    <s v="Nangha Boguila"/>
    <n v="0"/>
    <n v="5225"/>
    <n v="5225"/>
  </r>
  <r>
    <n v="128"/>
    <s v="CF42"/>
    <x v="14"/>
    <s v="CF421"/>
    <s v="Kaga-Bandoro"/>
    <s v="CF4215"/>
    <s v="Ndenga"/>
    <n v="0"/>
    <n v="2450"/>
    <n v="2450"/>
  </r>
  <r>
    <n v="129"/>
    <s v="CF32"/>
    <x v="10"/>
    <s v="CF321"/>
    <s v="Bossangoa"/>
    <s v="CF3216"/>
    <s v="Ndoro Mboli"/>
    <n v="0"/>
    <n v="4193"/>
    <n v="4193"/>
  </r>
  <r>
    <n v="130"/>
    <s v="CF62"/>
    <x v="7"/>
    <s v="CF623"/>
    <s v="Gambo"/>
    <s v="CF6232"/>
    <s v="Ngandou"/>
    <n v="0"/>
    <n v="20"/>
    <n v="20"/>
  </r>
  <r>
    <n v="131"/>
    <s v="CF62"/>
    <x v="7"/>
    <s v="CF622"/>
    <s v="Ouango"/>
    <s v="CF6222"/>
    <s v="Ngbandinga"/>
    <n v="0"/>
    <n v="16"/>
    <n v="16"/>
  </r>
  <r>
    <n v="132"/>
    <s v="CF43"/>
    <x v="4"/>
    <s v="CF431"/>
    <s v="Bambari"/>
    <s v="CF4313"/>
    <s v="Ngougbia"/>
    <n v="0"/>
    <n v="3349"/>
    <n v="3349"/>
  </r>
  <r>
    <n v="133"/>
    <s v="CF41"/>
    <x v="18"/>
    <s v="CF411"/>
    <s v="Sibut"/>
    <s v="CF4112"/>
    <s v="Ngoumbele"/>
    <n v="0"/>
    <n v="121"/>
    <n v="121"/>
  </r>
  <r>
    <n v="134"/>
    <s v="CF22"/>
    <x v="0"/>
    <s v="CF221"/>
    <s v="Bouar"/>
    <s v="CF2212"/>
    <s v="Niem-Yelewa"/>
    <n v="0"/>
    <n v="766"/>
    <n v="766"/>
  </r>
  <r>
    <n v="135"/>
    <s v="CF12"/>
    <x v="8"/>
    <s v="CF121"/>
    <s v="Mbaïki"/>
    <s v="CF1216"/>
    <s v="Nola"/>
    <n v="0"/>
    <n v="140"/>
    <n v="140"/>
  </r>
  <r>
    <n v="136"/>
    <s v="CF23"/>
    <x v="11"/>
    <s v="CF231"/>
    <s v="Nola"/>
    <s v="CF2311"/>
    <s v="Nola"/>
    <n v="0"/>
    <n v="6522"/>
    <n v="6522"/>
  </r>
  <r>
    <n v="137"/>
    <s v="CF63"/>
    <x v="19"/>
    <s v="CF631"/>
    <s v="Obo"/>
    <s v="CF6311"/>
    <s v="Obo"/>
    <n v="9604"/>
    <n v="2815"/>
    <n v="12419"/>
  </r>
  <r>
    <n v="138"/>
    <s v="CF52"/>
    <x v="16"/>
    <s v="CF522"/>
    <s v="Ouadda"/>
    <s v="CF5221"/>
    <s v="Ouadda"/>
    <n v="0"/>
    <n v="804"/>
    <n v="804"/>
  </r>
  <r>
    <n v="139"/>
    <s v="CF21"/>
    <x v="9"/>
    <s v="CF211"/>
    <s v="Berbérati"/>
    <s v="CF2113"/>
    <s v="Ouakanga"/>
    <n v="0"/>
    <n v="4073"/>
    <n v="4073"/>
  </r>
  <r>
    <n v="140"/>
    <s v="CF33"/>
    <x v="6"/>
    <s v="CF332"/>
    <s v="Kabo"/>
    <s v="CF3321"/>
    <s v="Ouaki"/>
    <n v="24"/>
    <n v="4076"/>
    <n v="4100"/>
  </r>
  <r>
    <n v="141"/>
    <s v="CF61"/>
    <x v="1"/>
    <s v="CF615"/>
    <s v="Zangba"/>
    <s v="CF6151"/>
    <s v="Ouambé"/>
    <n v="0"/>
    <n v="9371"/>
    <n v="9371"/>
  </r>
  <r>
    <n v="142"/>
    <s v="CF53"/>
    <x v="2"/>
    <s v="CF533"/>
    <s v="Ouandja"/>
    <s v="CF5331"/>
    <s v="Ouandja"/>
    <n v="0"/>
    <n v="2500"/>
    <n v="2500"/>
  </r>
  <r>
    <n v="143"/>
    <s v="CF52"/>
    <x v="16"/>
    <s v="CF524"/>
    <s v="Ouandja Kotto"/>
    <s v="CF5241"/>
    <s v="Ouandja Kotto"/>
    <n v="0"/>
    <n v="350"/>
    <n v="350"/>
  </r>
  <r>
    <n v="144"/>
    <s v="CF62"/>
    <x v="7"/>
    <s v="CF622"/>
    <s v="Ouango"/>
    <s v="CF6221"/>
    <s v="Ouango"/>
    <n v="0"/>
    <n v="40"/>
    <n v="40"/>
  </r>
  <r>
    <n v="145"/>
    <s v="CF33"/>
    <x v="6"/>
    <s v="CF331"/>
    <s v="Batangafo"/>
    <s v="CF3314"/>
    <s v="Ouassi"/>
    <n v="1095"/>
    <n v="2898"/>
    <n v="3993"/>
  </r>
  <r>
    <n v="146"/>
    <s v="CF32"/>
    <x v="10"/>
    <s v="CF321"/>
    <s v="Bossangoa"/>
    <s v="CF3215"/>
    <s v="Ouham Bac"/>
    <n v="0"/>
    <n v="3688"/>
    <n v="3688"/>
  </r>
  <r>
    <n v="147"/>
    <s v="CF33"/>
    <x v="6"/>
    <s v="CF333"/>
    <s v="Bouca"/>
    <s v="CF3333"/>
    <s v="Ouham Fafa"/>
    <n v="0"/>
    <n v="685"/>
    <n v="685"/>
  </r>
  <r>
    <n v="148"/>
    <s v="CF34"/>
    <x v="5"/>
    <s v="CF341"/>
    <s v="Paoua"/>
    <s v="CF3411"/>
    <s v="Paoua"/>
    <n v="0"/>
    <n v="235"/>
    <n v="235"/>
  </r>
  <r>
    <n v="149"/>
    <s v="CF31"/>
    <x v="12"/>
    <s v="CF312"/>
    <s v="Bocaranga"/>
    <s v="CF3123"/>
    <s v="Péndé"/>
    <n v="0"/>
    <n v="317"/>
    <n v="317"/>
  </r>
  <r>
    <n v="150"/>
    <s v="CF12"/>
    <x v="8"/>
    <s v="CF121"/>
    <s v="Mbaïki"/>
    <s v="CF1213"/>
    <s v="Pissa"/>
    <n v="0"/>
    <n v="135"/>
    <n v="135"/>
  </r>
  <r>
    <n v="151"/>
    <s v="CF43"/>
    <x v="4"/>
    <s v="CF431"/>
    <s v="Bambari"/>
    <s v="CF4314"/>
    <s v="Pladama-Ouaka"/>
    <n v="913"/>
    <n v="3083"/>
    <n v="3996"/>
  </r>
  <r>
    <n v="152"/>
    <s v="CF43"/>
    <x v="4"/>
    <s v="CF433"/>
    <s v="Grimari"/>
    <s v="CF4334"/>
    <s v="Pouyamba"/>
    <n v="0"/>
    <n v="14"/>
    <n v="14"/>
  </r>
  <r>
    <n v="153"/>
    <s v="CF62"/>
    <x v="7"/>
    <s v="CF624"/>
    <s v="Rafai"/>
    <s v="CF6241"/>
    <s v="Rafai"/>
    <n v="2178"/>
    <n v="804"/>
    <n v="2982"/>
  </r>
  <r>
    <n v="154"/>
    <s v="CF53"/>
    <x v="2"/>
    <s v="CF531"/>
    <s v="Birao"/>
    <s v="CF5311"/>
    <s v="Ridina"/>
    <n v="1050"/>
    <n v="1254"/>
    <n v="2304"/>
  </r>
  <r>
    <n v="155"/>
    <s v="CF23"/>
    <x v="11"/>
    <s v="CF231"/>
    <s v="Nola"/>
    <s v="CF2313"/>
    <s v="Salo"/>
    <n v="0"/>
    <n v="735"/>
    <n v="735"/>
  </r>
  <r>
    <n v="156"/>
    <s v="CF52"/>
    <x v="16"/>
    <s v="CF521"/>
    <s v="Bria"/>
    <s v="CF5211"/>
    <s v="Samba-Boungou"/>
    <n v="9711"/>
    <n v="10599"/>
    <n v="20310"/>
  </r>
  <r>
    <n v="157"/>
    <s v="CF62"/>
    <x v="7"/>
    <s v="CF621"/>
    <s v="Bangassou"/>
    <s v="CF6212"/>
    <s v="Sayo Niakari"/>
    <n v="0"/>
    <n v="75"/>
    <n v="75"/>
  </r>
  <r>
    <n v="158"/>
    <s v="CF61"/>
    <x v="1"/>
    <s v="CF614"/>
    <s v="Mingala"/>
    <s v="CF6143"/>
    <s v="Séliba"/>
    <n v="0"/>
    <n v="0"/>
    <n v="0"/>
  </r>
  <r>
    <n v="159"/>
    <s v="CF24"/>
    <x v="15"/>
    <s v="CF244"/>
    <s v="Senkpa-Mbaéré"/>
    <s v="CF2441"/>
    <s v="Senkpa-Mbaéré"/>
    <n v="0"/>
    <n v="0"/>
    <n v="0"/>
  </r>
  <r>
    <n v="160"/>
    <s v="CF41"/>
    <x v="18"/>
    <s v="CF411"/>
    <s v="Sibut"/>
    <s v="CF4111"/>
    <s v="Sibut"/>
    <n v="0"/>
    <n v="1044"/>
    <n v="1044"/>
  </r>
  <r>
    <n v="161"/>
    <s v="CF33"/>
    <x v="6"/>
    <s v="CF332"/>
    <s v="Kabo"/>
    <s v="CF3322"/>
    <s v="Sido"/>
    <n v="4156"/>
    <n v="9958"/>
    <n v="14114"/>
  </r>
  <r>
    <n v="162"/>
    <s v="CF61"/>
    <x v="1"/>
    <s v="CF614"/>
    <s v="Mingala"/>
    <s v="CF6141"/>
    <s v="Siriki"/>
    <n v="0"/>
    <n v="0"/>
    <n v="0"/>
  </r>
  <r>
    <n v="163"/>
    <s v="CF32"/>
    <x v="10"/>
    <s v="CF321"/>
    <s v="Bossangoa"/>
    <s v="CF3212"/>
    <s v="Soumbé"/>
    <n v="0"/>
    <n v="3556"/>
    <n v="3556"/>
  </r>
  <r>
    <n v="164"/>
    <s v="CF41"/>
    <x v="18"/>
    <s v="CF412"/>
    <s v="Dékoa"/>
    <s v="CF4122"/>
    <s v="Tilo"/>
    <n v="0"/>
    <n v="1705"/>
    <n v="1705"/>
  </r>
  <r>
    <n v="165"/>
    <s v="CF24"/>
    <x v="15"/>
    <s v="CF243"/>
    <s v="Gadzi"/>
    <s v="CF2431"/>
    <s v="Topia"/>
    <n v="0"/>
    <n v="168"/>
    <n v="168"/>
  </r>
  <r>
    <n v="166"/>
    <s v="CF51"/>
    <x v="17"/>
    <s v="CF512"/>
    <s v="Bamingui"/>
    <s v="CF5121"/>
    <s v="Vassako"/>
    <n v="0"/>
    <n v="614"/>
    <n v="614"/>
  </r>
  <r>
    <n v="167"/>
    <s v="CF53"/>
    <x v="2"/>
    <s v="CF532"/>
    <s v="Ouanda-Djallé"/>
    <s v="CF5321"/>
    <s v="Vokouma"/>
    <n v="0"/>
    <n v="345"/>
    <n v="345"/>
  </r>
  <r>
    <n v="168"/>
    <s v="CF62"/>
    <x v="7"/>
    <s v="CF621"/>
    <s v="Bangassou"/>
    <s v="CF6213"/>
    <s v="Voungba-Balifondo"/>
    <n v="0"/>
    <n v="0"/>
    <n v="0"/>
  </r>
  <r>
    <n v="169"/>
    <s v="CF61"/>
    <x v="1"/>
    <s v="CF615"/>
    <s v="Zangba"/>
    <s v="CF6152"/>
    <s v="Yabongo"/>
    <n v="0"/>
    <n v="3995"/>
    <n v="3995"/>
  </r>
  <r>
    <n v="170"/>
    <s v="CF52"/>
    <x v="16"/>
    <s v="CF523"/>
    <s v="Yalinga"/>
    <s v="CF5231"/>
    <s v="Yalinga"/>
    <n v="0"/>
    <n v="64"/>
    <n v="64"/>
  </r>
  <r>
    <n v="171"/>
    <s v="CF11"/>
    <x v="13"/>
    <s v="CF116"/>
    <s v="Yaloké"/>
    <s v="CF1161"/>
    <s v="Yaloké"/>
    <n v="0"/>
    <n v="6050"/>
    <n v="6050"/>
  </r>
  <r>
    <n v="172"/>
    <s v="CF61"/>
    <x v="1"/>
    <s v="CF612"/>
    <s v="Alindao"/>
    <s v="CF6125"/>
    <s v="Yambélé-Ewou"/>
    <n v="0"/>
    <n v="0"/>
    <n v="0"/>
  </r>
  <r>
    <n v="173"/>
    <s v="CF34"/>
    <x v="5"/>
    <s v="CF343"/>
    <s v="Ndim"/>
    <s v="CF3432"/>
    <s v="Yémé"/>
    <n v="0"/>
    <n v="0"/>
    <n v="0"/>
  </r>
  <r>
    <n v="174"/>
    <s v="CF22"/>
    <x v="0"/>
    <s v="CF221"/>
    <s v="Bouar"/>
    <s v="CF2215"/>
    <s v="Yénga"/>
    <n v="0"/>
    <n v="1615"/>
    <n v="1615"/>
  </r>
  <r>
    <n v="175"/>
    <s v="CF43"/>
    <x v="4"/>
    <s v="CF435"/>
    <s v="Ippy"/>
    <s v="CF4352"/>
    <s v="Yéngou"/>
    <n v="0"/>
    <n v="10"/>
    <n v="10"/>
  </r>
  <r>
    <n v="176"/>
    <s v="CF23"/>
    <x v="11"/>
    <s v="CF233"/>
    <s v="Bayanga"/>
    <s v="CF2331"/>
    <s v="Yobé-Sangha"/>
    <n v="0"/>
    <n v="1393"/>
    <n v="1393"/>
  </r>
  <r>
    <n v="177"/>
    <s v="CF22"/>
    <x v="0"/>
    <s v="CF222"/>
    <s v="Baoro"/>
    <s v="CF2222"/>
    <s v="Yoro-Samba Bougoulou"/>
    <n v="0"/>
    <n v="561"/>
    <n v="561"/>
  </r>
  <r>
    <n v="178"/>
    <s v="CF62"/>
    <x v="7"/>
    <s v="CF621"/>
    <s v="Bangassou"/>
    <s v="CF6214"/>
    <s v="Zangandou"/>
    <n v="0"/>
    <n v="88"/>
    <n v="88"/>
  </r>
  <r>
    <n v="179"/>
    <s v="CF63"/>
    <x v="19"/>
    <s v="CF633"/>
    <s v="Zémio"/>
    <s v="CF6331"/>
    <s v="Zémio"/>
    <n v="2596"/>
    <n v="1451"/>
    <n v="4047"/>
  </r>
  <r>
    <n v="180"/>
    <s v="CF22"/>
    <x v="0"/>
    <s v="CF221"/>
    <s v="Bouar"/>
    <s v="CF2214"/>
    <s v="Zotoua-Bangarem"/>
    <n v="0"/>
    <n v="34"/>
    <n v="34"/>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7">
  <r>
    <x v="0"/>
    <s v="CF51"/>
    <x v="0"/>
    <s v="CF511"/>
    <s v="Dar El Kouti"/>
    <s v="CF5111"/>
    <s v="Ndele"/>
    <s v="CITE DE L’AMITIE "/>
    <s v="Site"/>
    <m/>
    <m/>
    <m/>
    <m/>
    <m/>
    <m/>
    <m/>
    <m/>
    <m/>
    <m/>
    <x v="0"/>
    <n v="0"/>
    <x v="0"/>
    <s v="Avril 2024"/>
    <s v="Non"/>
    <x v="0"/>
    <m/>
    <s v="Les PDI ont quitté le site pour aller en famille d'acceuil"/>
    <s v="DTM IOM"/>
  </r>
  <r>
    <x v="0"/>
    <s v="CF51"/>
    <x v="0"/>
    <s v="CF511"/>
    <s v="Dar El Kouti"/>
    <s v="CF5111"/>
    <s v="Gozamar - site IOM reintegration"/>
    <s v="Gozamar Cité de la Paix"/>
    <s v="Site"/>
    <m/>
    <m/>
    <m/>
    <m/>
    <m/>
    <m/>
    <m/>
    <m/>
    <m/>
    <m/>
    <x v="0"/>
    <n v="0"/>
    <x v="0"/>
    <s v="Avril 2024"/>
    <s v="Non"/>
    <x v="0"/>
    <m/>
    <s v="Les PDI ont quitté le site pour aller en famille d'acceuil"/>
    <s v="DTM IOM"/>
  </r>
  <r>
    <x v="0"/>
    <s v="CF51"/>
    <x v="0"/>
    <s v="CF511"/>
    <s v="Dar El Kouti"/>
    <s v="CF5111"/>
    <s v="Ndele - Base MINUSCA"/>
    <s v="MINUSCA"/>
    <s v="Site"/>
    <n v="232"/>
    <n v="51"/>
    <n v="165"/>
    <n v="50"/>
    <n v="165"/>
    <n v="50"/>
    <n v="165"/>
    <n v="50"/>
    <n v="165"/>
    <n v="50"/>
    <x v="1"/>
    <n v="0"/>
    <x v="0"/>
    <s v="Janvier 2025"/>
    <s v="Non"/>
    <x v="1"/>
    <s v="Sans gestionnaire"/>
    <s v="Données de suivi de mobilité pour le cycle 23 (Mobility Tracking Round 23) "/>
    <s v="DTM IOM"/>
  </r>
  <r>
    <x v="1"/>
    <s v="CF71"/>
    <x v="1"/>
    <s v="CF713"/>
    <s v="Arrondissement 6"/>
    <s v="CF7136"/>
    <s v="Petevo"/>
    <s v="Kolongo/Gbanikola 2"/>
    <s v="Lieu de regroupement"/>
    <n v="438"/>
    <n v="73"/>
    <n v="636"/>
    <n v="106"/>
    <n v="636"/>
    <n v="106"/>
    <n v="0"/>
    <n v="0"/>
    <n v="0"/>
    <n v="0"/>
    <x v="0"/>
    <n v="0"/>
    <x v="0"/>
    <s v="Mars 2025"/>
    <s v="Oui"/>
    <x v="0"/>
    <m/>
    <s v="RAPPORT DE LA VISITE TERRAIN A BANGUI -_x000a_Vendredi, 25 avril 2025 - Cluster national"/>
    <s v="Cluster National CCCM"/>
  </r>
  <r>
    <x v="1"/>
    <s v="CF71"/>
    <x v="1"/>
    <s v="CF713"/>
    <s v="Arrondissement 2"/>
    <s v="CF7132"/>
    <s v="Ile des singes"/>
    <s v="Ile Mbongossoua"/>
    <s v="Lieu de regroupement"/>
    <n v="1284"/>
    <n v="214"/>
    <n v="828"/>
    <n v="138"/>
    <n v="828"/>
    <n v="138"/>
    <n v="828"/>
    <n v="138"/>
    <n v="828"/>
    <n v="138"/>
    <x v="1"/>
    <n v="0"/>
    <x v="0"/>
    <s v="Mars 2025"/>
    <s v="Oui"/>
    <x v="1"/>
    <s v="Sans gestionnaire"/>
    <s v="RAPPORT DE LA VISITE TERRAIN A BANGUI -_x000a_Vendredi, 25 avril 2025 - Cluster national"/>
    <s v="Cluster National CCCM"/>
  </r>
  <r>
    <x v="2"/>
    <s v="CF61"/>
    <x v="2"/>
    <s v="CF612"/>
    <s v="Alindao"/>
    <s v="CF6121"/>
    <s v="Alindao"/>
    <s v="Nzélété"/>
    <s v="Site"/>
    <n v="1460"/>
    <n v="292"/>
    <n v="1375"/>
    <n v="275"/>
    <n v="1375"/>
    <n v="275"/>
    <n v="1375"/>
    <n v="275"/>
    <n v="1375"/>
    <n v="275"/>
    <x v="1"/>
    <n v="0"/>
    <x v="0"/>
    <s v="Janvier 2025"/>
    <s v="Non"/>
    <x v="1"/>
    <s v="Sans gestionnaire"/>
    <s v="Données de suivi de mobilité pour le cycle 23 (Mobility Tracking Round 23) "/>
    <s v="DTM IOM"/>
  </r>
  <r>
    <x v="2"/>
    <s v="CF61"/>
    <x v="2"/>
    <s v="CF612"/>
    <s v="Alindao"/>
    <s v="CF6121"/>
    <s v="Alindao"/>
    <s v="Site AFAPS"/>
    <s v="Site"/>
    <n v="657"/>
    <n v="165"/>
    <n v="850"/>
    <n v="170"/>
    <n v="850"/>
    <n v="170"/>
    <n v="850"/>
    <n v="170"/>
    <n v="850"/>
    <n v="170"/>
    <x v="1"/>
    <n v="0"/>
    <x v="0"/>
    <s v="Janvier 2025"/>
    <s v="Non"/>
    <x v="1"/>
    <s v="Sans gestionnaire"/>
    <s v="Données de suivi de mobilité pour le cycle 23 (Mobility Tracking Round 23) "/>
    <s v="DTM IOM"/>
  </r>
  <r>
    <x v="2"/>
    <s v="CF61"/>
    <x v="2"/>
    <s v="CF612"/>
    <s v="Alindao"/>
    <s v="CF6121"/>
    <s v="Quartier Mission"/>
    <s v="Site Catholique"/>
    <s v="Site"/>
    <n v="5790"/>
    <n v="1305"/>
    <n v="5790"/>
    <n v="1305"/>
    <n v="5790"/>
    <n v="1305"/>
    <n v="5790"/>
    <n v="1305"/>
    <n v="5790"/>
    <n v="1305"/>
    <x v="1"/>
    <n v="0"/>
    <x v="0"/>
    <s v="Janvier 2025"/>
    <s v="Non"/>
    <x v="1"/>
    <s v="Sans gestionnaire"/>
    <s v="Données de suivi de mobilité pour le cycle 23 (Mobility Tracking Round 23) "/>
    <s v="DTM IOM"/>
  </r>
  <r>
    <x v="2"/>
    <s v="CF61"/>
    <x v="2"/>
    <s v="CF612"/>
    <s v="Alindao"/>
    <s v="CF6121"/>
    <s v="Alindao"/>
    <s v="Site Elim"/>
    <s v="Site"/>
    <n v="661"/>
    <n v="165"/>
    <n v="661"/>
    <n v="165"/>
    <n v="661"/>
    <n v="165"/>
    <n v="661"/>
    <n v="165"/>
    <n v="661"/>
    <n v="165"/>
    <x v="1"/>
    <n v="0"/>
    <x v="0"/>
    <s v="Janvier 2025"/>
    <s v="Non"/>
    <x v="1"/>
    <s v="Sans gestionnaire"/>
    <s v="Données de suivi de mobilité pour le cycle 23 (Mobility Tracking Round 23) "/>
    <s v="DTM IOM"/>
  </r>
  <r>
    <x v="2"/>
    <s v="CF61"/>
    <x v="2"/>
    <s v="CF612"/>
    <s v="Alindao"/>
    <s v="CF6121"/>
    <s v="Voundja Djogo"/>
    <s v="Site Pk3 axe mingala"/>
    <s v="Site"/>
    <n v="1896"/>
    <n v="395"/>
    <n v="1896"/>
    <n v="395"/>
    <n v="1896"/>
    <n v="395"/>
    <n v="1896"/>
    <n v="395"/>
    <n v="1896"/>
    <n v="395"/>
    <x v="1"/>
    <n v="0"/>
    <x v="0"/>
    <s v="Janvier 2025"/>
    <s v="Non"/>
    <x v="1"/>
    <s v="Sans gestionnaire"/>
    <s v="Données de suivi de mobilité pour le cycle 23 (Mobility Tracking Round 23) "/>
    <s v="DTM IOM"/>
  </r>
  <r>
    <x v="3"/>
    <s v="CF52"/>
    <x v="3"/>
    <s v="CF521"/>
    <s v="Samba-Boungou"/>
    <s v="CF5211"/>
    <s v="Bria"/>
    <s v="Gobolo 2"/>
    <s v="Lieu de regroupement"/>
    <n v="426"/>
    <n v="124"/>
    <n v="424"/>
    <n v="121"/>
    <n v="424"/>
    <n v="121"/>
    <n v="424"/>
    <n v="121"/>
    <n v="424"/>
    <n v="121"/>
    <x v="1"/>
    <n v="0"/>
    <x v="0"/>
    <s v="Janvier 2025"/>
    <s v="Non"/>
    <x v="1"/>
    <s v="Sans gestionnaire"/>
    <s v="Données de suivi de mobilité pour le cycle 23 (Mobility Tracking Round 23) "/>
    <s v="DTM IOM "/>
  </r>
  <r>
    <x v="3"/>
    <s v="CF52"/>
    <x v="3"/>
    <s v="CF521"/>
    <s v="Samba-Boungou"/>
    <s v="CF5211"/>
    <s v="Bria"/>
    <s v="Pk3 (Bria)"/>
    <s v="Site"/>
    <n v="10976"/>
    <n v="2110"/>
    <n v="10976"/>
    <n v="2110"/>
    <n v="10286"/>
    <n v="1982"/>
    <n v="9482"/>
    <n v="1829"/>
    <n v="9287"/>
    <n v="1794"/>
    <x v="2"/>
    <n v="-195"/>
    <x v="1"/>
    <s v="Avril 2025"/>
    <s v="Oui"/>
    <x v="2"/>
    <s v="CIAUD"/>
    <s v="Cette diminution se justifiérait par le retour des 35 ménages, soit 195 personnes (33 hommes, 59 filles, 70 garçons et 33 femmes). Certains seraient retour volontaire et d'autres après l'appui à la reconstruction des abris semi-durable par le partenaire OIM  vers leurs zones d'origine"/>
    <s v="CIAUD"/>
  </r>
  <r>
    <x v="3"/>
    <s v="CF52"/>
    <x v="3"/>
    <s v="CF521"/>
    <s v="Samba-Boungou"/>
    <s v="CF5211"/>
    <s v="Bria"/>
    <s v="Site Cebi 1"/>
    <s v="Site"/>
    <m/>
    <m/>
    <m/>
    <m/>
    <m/>
    <m/>
    <m/>
    <m/>
    <m/>
    <m/>
    <x v="0"/>
    <n v="0"/>
    <x v="0"/>
    <s v="Novembre 2023"/>
    <s v="Non"/>
    <x v="0"/>
    <m/>
    <s v="Site fermé"/>
    <s v="DTM IOM"/>
  </r>
  <r>
    <x v="3"/>
    <s v="CF52"/>
    <x v="3"/>
    <s v="CF521"/>
    <s v="Samba-Boungou"/>
    <s v="CF5211"/>
    <s v="Bria"/>
    <s v="Site Cebi 3"/>
    <s v="Site"/>
    <m/>
    <m/>
    <m/>
    <m/>
    <m/>
    <m/>
    <m/>
    <m/>
    <m/>
    <m/>
    <x v="0"/>
    <n v="0"/>
    <x v="0"/>
    <s v="Novembre 2023"/>
    <s v="Non"/>
    <x v="0"/>
    <m/>
    <s v="Site fermé"/>
    <s v="DTM IOM"/>
  </r>
  <r>
    <x v="3"/>
    <s v="CF52"/>
    <x v="3"/>
    <s v="CF521"/>
    <s v="Samba-Boungou"/>
    <s v="CF5211"/>
    <s v="Bria"/>
    <s v="Site Eglise catholique (Bria)"/>
    <s v="Site"/>
    <m/>
    <m/>
    <m/>
    <m/>
    <m/>
    <m/>
    <m/>
    <m/>
    <m/>
    <m/>
    <x v="0"/>
    <n v="0"/>
    <x v="0"/>
    <s v="Novembre 2023"/>
    <s v="Non"/>
    <x v="0"/>
    <m/>
    <s v="Site fermé"/>
    <s v="DTM IOM"/>
  </r>
  <r>
    <x v="4"/>
    <s v="CF63"/>
    <x v="4"/>
    <s v="CF634"/>
    <s v="Djéma"/>
    <s v="CF6341"/>
    <s v="Kadjima"/>
    <s v="A2"/>
    <s v="Site"/>
    <n v="160"/>
    <n v="32"/>
    <n v="210"/>
    <n v="40"/>
    <n v="210"/>
    <n v="40"/>
    <n v="210"/>
    <n v="40"/>
    <n v="210"/>
    <n v="40"/>
    <x v="1"/>
    <n v="0"/>
    <x v="0"/>
    <s v="Janvier 2025"/>
    <s v="Non"/>
    <x v="1"/>
    <s v="Sans gestionnaire"/>
    <s v="Données de suivi de mobilité pour le cycle 23 (Mobility Tracking Round 23) "/>
    <s v="DTM IOM"/>
  </r>
  <r>
    <x v="4"/>
    <s v="CF63"/>
    <x v="5"/>
    <s v="CF631"/>
    <s v="Obo"/>
    <s v="CF6311"/>
    <s v="Obo"/>
    <s v="Gougbere"/>
    <s v="Site"/>
    <n v="2474"/>
    <n v="658"/>
    <n v="2473"/>
    <n v="657"/>
    <n v="2473"/>
    <n v="657"/>
    <n v="2471"/>
    <n v="656"/>
    <n v="2471"/>
    <n v="656"/>
    <x v="1"/>
    <n v="0"/>
    <x v="0"/>
    <s v="Mars 2025"/>
    <s v="Oui"/>
    <x v="2"/>
    <s v="COOPI"/>
    <s v="Mise à jour"/>
    <s v="COOPI"/>
  </r>
  <r>
    <x v="4"/>
    <s v="CF63"/>
    <x v="5"/>
    <s v="CF631"/>
    <s v="Obo"/>
    <s v="CF6311"/>
    <s v="Obo"/>
    <s v="Ligoua"/>
    <s v="Site"/>
    <n v="2750"/>
    <n v="653"/>
    <n v="2739"/>
    <n v="649"/>
    <n v="2733"/>
    <n v="648"/>
    <n v="2723"/>
    <n v="647"/>
    <n v="2723"/>
    <n v="647"/>
    <x v="1"/>
    <n v="0"/>
    <x v="0"/>
    <s v="Mars 2025"/>
    <s v="Oui"/>
    <x v="2"/>
    <s v="COOPI"/>
    <s v="Mise à jour"/>
    <s v="COOPI"/>
  </r>
  <r>
    <x v="4"/>
    <s v="CF63"/>
    <x v="5"/>
    <s v="CF631"/>
    <s v="Mboki"/>
    <s v="CF6351"/>
    <s v="Mboki"/>
    <s v="LR Mboki 4"/>
    <s v="Lieu de regroupement"/>
    <m/>
    <m/>
    <m/>
    <m/>
    <m/>
    <m/>
    <m/>
    <m/>
    <m/>
    <m/>
    <x v="0"/>
    <n v="0"/>
    <x v="0"/>
    <s v="Aout 2024"/>
    <s v="Non"/>
    <x v="3"/>
    <m/>
    <s v="(PDI en FA)Lieu de Regroupement profilé par COOPI. "/>
    <s v="COOPI"/>
  </r>
  <r>
    <x v="4"/>
    <s v="CF63"/>
    <x v="5"/>
    <s v="CF631"/>
    <s v="Obo"/>
    <s v="CF6311"/>
    <s v="Obo"/>
    <s v="Mboki"/>
    <s v="Site"/>
    <n v="2028"/>
    <n v="482"/>
    <n v="1506"/>
    <n v="375"/>
    <n v="1506"/>
    <n v="375"/>
    <n v="1506"/>
    <n v="375"/>
    <n v="1506"/>
    <n v="375"/>
    <x v="1"/>
    <n v="0"/>
    <x v="0"/>
    <s v="Mars 2025"/>
    <s v="Oui"/>
    <x v="2"/>
    <s v="COOPI"/>
    <s v="Mise à jour"/>
    <s v="COOPI"/>
  </r>
  <r>
    <x v="4"/>
    <s v="CF63"/>
    <x v="5"/>
    <s v="CF631"/>
    <s v="Obo"/>
    <s v="CF6311"/>
    <s v="Obo"/>
    <s v="Ngouli"/>
    <s v="Site"/>
    <n v="1765"/>
    <n v="426"/>
    <n v="1760"/>
    <n v="425"/>
    <n v="1760"/>
    <n v="425"/>
    <n v="1760"/>
    <n v="425"/>
    <n v="1760"/>
    <n v="425"/>
    <x v="1"/>
    <n v="0"/>
    <x v="0"/>
    <s v="Mars 2025"/>
    <s v="Oui"/>
    <x v="2"/>
    <s v="COOPI"/>
    <s v="Mise à jour"/>
    <s v="COOPI"/>
  </r>
  <r>
    <x v="4"/>
    <s v="CF63"/>
    <x v="5"/>
    <s v="CF631"/>
    <s v="Obo"/>
    <s v="CF6311"/>
    <s v="Obo"/>
    <s v="Nguilinguili"/>
    <s v="Site"/>
    <n v="657"/>
    <n v="169"/>
    <n v="656"/>
    <n v="168"/>
    <n v="656"/>
    <n v="168"/>
    <n v="654"/>
    <n v="167"/>
    <n v="654"/>
    <n v="167"/>
    <x v="1"/>
    <n v="0"/>
    <x v="0"/>
    <s v="Mars 2025"/>
    <s v="Oui"/>
    <x v="2"/>
    <s v="COOPI"/>
    <s v="Mise à jour"/>
    <s v="COOPI"/>
  </r>
  <r>
    <x v="4"/>
    <s v="CF63"/>
    <x v="6"/>
    <s v="CF633"/>
    <s v="Zémio"/>
    <s v="CF6331"/>
    <s v="Zémio"/>
    <s v="Site C"/>
    <s v="Lieu de regroupement"/>
    <m/>
    <m/>
    <m/>
    <m/>
    <m/>
    <m/>
    <m/>
    <m/>
    <m/>
    <m/>
    <x v="0"/>
    <n v="0"/>
    <x v="0"/>
    <s v="Fevrier 2024"/>
    <s v="Non"/>
    <x v="3"/>
    <m/>
    <s v="Site fermé"/>
    <s v="COOPI"/>
  </r>
  <r>
    <x v="4"/>
    <s v="CF63"/>
    <x v="6"/>
    <s v="CF633"/>
    <s v="Zémio"/>
    <s v="CF6331"/>
    <s v="Zémio"/>
    <s v="Site D"/>
    <s v="Lieu de regroupement"/>
    <n v="401"/>
    <n v="81"/>
    <n v="180"/>
    <n v="33"/>
    <n v="490"/>
    <n v="110"/>
    <n v="1110"/>
    <n v="183"/>
    <n v="1110"/>
    <n v="183"/>
    <x v="1"/>
    <n v="0"/>
    <x v="0"/>
    <s v="Mars 2025"/>
    <s v="Oui"/>
    <x v="2"/>
    <s v="GADV/COOPI"/>
    <s v="Mise à jour"/>
    <s v="GADV/COOPI"/>
  </r>
  <r>
    <x v="4"/>
    <s v="CF63"/>
    <x v="6"/>
    <s v="CF633"/>
    <s v="Zémio"/>
    <s v="CF6331"/>
    <s v="Village Argue"/>
    <s v="Site Formel ARGUE"/>
    <s v="Lieu de regroupement"/>
    <n v="1692"/>
    <n v="381"/>
    <n v="923"/>
    <n v="193"/>
    <n v="923"/>
    <n v="193"/>
    <n v="1486"/>
    <n v="276"/>
    <n v="1486"/>
    <n v="276"/>
    <x v="1"/>
    <n v="0"/>
    <x v="0"/>
    <s v="Mars 2025"/>
    <s v="Oui"/>
    <x v="2"/>
    <s v="GADV/COOPI"/>
    <s v="Mise à jour "/>
    <s v="GADV/COOPI"/>
  </r>
  <r>
    <x v="4"/>
    <s v="CF63"/>
    <x v="5"/>
    <s v="CF631"/>
    <s v="Mboki"/>
    <s v="CF6351"/>
    <s v="Obo"/>
    <s v="Site Mboki Espoir"/>
    <s v="Lieu de regroupement"/>
    <m/>
    <m/>
    <m/>
    <m/>
    <m/>
    <m/>
    <m/>
    <m/>
    <m/>
    <m/>
    <x v="0"/>
    <n v="0"/>
    <x v="0"/>
    <s v="Juin 2024"/>
    <s v="Non"/>
    <x v="3"/>
    <m/>
    <s v="Lieu de Regroupement profilé par COOPI. Site Mboki et Site Mboki Espoir : c'est un seul site (Site Mboki)"/>
    <s v="COOPI"/>
  </r>
  <r>
    <x v="4"/>
    <s v="CF63"/>
    <x v="5"/>
    <s v="CF631"/>
    <s v="Obo"/>
    <s v="CF6311"/>
    <s v="Obo"/>
    <s v="Zemio"/>
    <s v="Site"/>
    <n v="625"/>
    <n v="143"/>
    <n v="490"/>
    <n v="110"/>
    <n v="490"/>
    <n v="110"/>
    <n v="490"/>
    <n v="110"/>
    <n v="490"/>
    <n v="110"/>
    <x v="1"/>
    <n v="0"/>
    <x v="0"/>
    <s v="Mars 2025"/>
    <s v="Oui"/>
    <x v="2"/>
    <s v="COOPI"/>
    <s v="Mise à jour"/>
    <s v="COOPI"/>
  </r>
  <r>
    <x v="5"/>
    <s v="CF62"/>
    <x v="7"/>
    <s v="CF625"/>
    <s v="Bakouma"/>
    <s v="CF6251"/>
    <s v="Bakouma"/>
    <s v="Bangassou-Kwanga (Bakouma-centre)"/>
    <s v="Lieu de regroupement"/>
    <n v="152"/>
    <n v="26"/>
    <n v="152"/>
    <n v="26"/>
    <n v="152"/>
    <n v="26"/>
    <n v="152"/>
    <n v="26"/>
    <n v="152"/>
    <n v="26"/>
    <x v="1"/>
    <n v="0"/>
    <x v="0"/>
    <s v="Janvier 2025"/>
    <s v="Non"/>
    <x v="2"/>
    <s v="COOPADEM"/>
    <s v="Profilage et évaluation multisectorielle des besoins dans les sites des PDIs de Bakouma"/>
    <s v="COOPADEM"/>
  </r>
  <r>
    <x v="5"/>
    <s v="CF62"/>
    <x v="7"/>
    <s v="CF625"/>
    <s v="Bakouma"/>
    <s v="CF6251"/>
    <s v="Bakouma"/>
    <s v="Axe Bakouma-Nzacko (ZIMA)"/>
    <s v="Lieu de regroupement"/>
    <n v="669"/>
    <n v="121"/>
    <n v="700"/>
    <n v="122"/>
    <n v="700"/>
    <n v="122"/>
    <n v="700"/>
    <n v="122"/>
    <n v="700"/>
    <n v="122"/>
    <x v="1"/>
    <n v="0"/>
    <x v="0"/>
    <s v="Janvier 2025"/>
    <s v="Non"/>
    <x v="2"/>
    <s v="COOPADEM"/>
    <s v="Profilage COOPADEM"/>
    <s v="COOPADEM"/>
  </r>
  <r>
    <x v="5"/>
    <s v="CF62"/>
    <x v="7"/>
    <s v="CF625"/>
    <s v="Bakouma"/>
    <s v="CF6251"/>
    <s v="Bakouma"/>
    <s v="Axe Bakouma-Nzabé (GANGOUA)"/>
    <s v="Site"/>
    <n v="779"/>
    <n v="125"/>
    <n v="796"/>
    <n v="127"/>
    <n v="796"/>
    <n v="127"/>
    <n v="796"/>
    <n v="127"/>
    <n v="796"/>
    <n v="127"/>
    <x v="1"/>
    <n v="0"/>
    <x v="0"/>
    <s v="Janvier 2025"/>
    <s v="Non"/>
    <x v="2"/>
    <s v="COOPADEM"/>
    <s v="Profilage COOPADEM"/>
    <s v="COOPADEM"/>
  </r>
  <r>
    <x v="5"/>
    <s v="CF62"/>
    <x v="8"/>
    <s v="CF624"/>
    <s v="Rafai"/>
    <s v="CF6241"/>
    <s v="Dembia"/>
    <s v="DEMBIA"/>
    <s v="Site"/>
    <n v="327"/>
    <n v="68"/>
    <n v="329"/>
    <n v="68"/>
    <n v="329"/>
    <n v="68"/>
    <n v="329"/>
    <n v="68"/>
    <n v="329"/>
    <n v="68"/>
    <x v="1"/>
    <n v="0"/>
    <x v="0"/>
    <s v="Janvier 2025"/>
    <s v="Non"/>
    <x v="1"/>
    <s v="Sans gestionnaire"/>
    <s v="La mise à jour de liste des PDI de ce site fait état de hausse de 02 individus. Cette hausse ce justifierait par la naissance de 02 garcons. "/>
    <s v="FNHOD"/>
  </r>
  <r>
    <x v="5"/>
    <s v="CF62"/>
    <x v="8"/>
    <s v="CF624"/>
    <s v="Rafai"/>
    <s v="CF6241"/>
    <s v="Rafaï - Axe Zemio"/>
    <s v="MADINA"/>
    <s v="Site"/>
    <m/>
    <m/>
    <m/>
    <m/>
    <m/>
    <m/>
    <m/>
    <m/>
    <m/>
    <m/>
    <x v="0"/>
    <n v="0"/>
    <x v="0"/>
    <s v="Fevrier 2024"/>
    <s v="Non"/>
    <x v="4"/>
    <m/>
    <s v="PDI retournés dans leurs localités d'origine"/>
    <s v="COOPADEM"/>
  </r>
  <r>
    <x v="5"/>
    <s v="CF62"/>
    <x v="7"/>
    <s v="CF625"/>
    <s v="Bakouma"/>
    <s v="CF6251"/>
    <s v="Bakouma"/>
    <s v="Perseverance / Badounabi 2"/>
    <s v="Site"/>
    <n v="1902"/>
    <n v="471"/>
    <n v="1986"/>
    <n v="330"/>
    <n v="1986"/>
    <n v="330"/>
    <n v="1986"/>
    <n v="330"/>
    <n v="1986"/>
    <n v="330"/>
    <x v="1"/>
    <n v="0"/>
    <x v="0"/>
    <s v="Janvier 2025"/>
    <s v="Non"/>
    <x v="2"/>
    <s v="COOPADEM"/>
    <s v="Profilage COOPADEM"/>
    <s v="COOPADEM"/>
  </r>
  <r>
    <x v="5"/>
    <s v="CF62"/>
    <x v="8"/>
    <s v="CF624"/>
    <s v="Rafai"/>
    <s v="CF6241"/>
    <s v="Bingba 3"/>
    <s v="Site A"/>
    <s v="Site"/>
    <n v="330"/>
    <n v="61"/>
    <n v="329"/>
    <n v="60"/>
    <n v="329"/>
    <n v="60"/>
    <n v="329"/>
    <n v="60"/>
    <n v="329"/>
    <n v="60"/>
    <x v="1"/>
    <n v="0"/>
    <x v="0"/>
    <s v="Janvier 2025"/>
    <s v="Non"/>
    <x v="1"/>
    <s v="Sans gestionnaire"/>
    <s v="La tendance du mouvement de population du site A pour ce mois de Janvier 2025 est en baisse, cette baisse se justifirait par le decès d'une fille suite à une courte maladie. Des cas de naissances et de nouveaux arrivés ne sont pas enregistrés ni documentées durant l'opération d'actualisation de la liste des PDis dudit site. Toute fois, une mise à jour sera effective au mois de Février 2025. "/>
    <s v="FNHOD"/>
  </r>
  <r>
    <x v="5"/>
    <s v="CF62"/>
    <x v="8"/>
    <s v="CF624"/>
    <s v="Rafai"/>
    <s v="CF6241"/>
    <s v="Sandou"/>
    <s v="Site B "/>
    <s v="Site"/>
    <n v="994"/>
    <n v="181"/>
    <n v="997"/>
    <n v="181"/>
    <n v="997"/>
    <n v="181"/>
    <n v="997"/>
    <n v="181"/>
    <n v="997"/>
    <n v="181"/>
    <x v="1"/>
    <n v="0"/>
    <x v="0"/>
    <s v="Janvier 2025"/>
    <s v="Non"/>
    <x v="1"/>
    <s v="Sans gestionnaire"/>
    <s v="Pour ce mois en revu, la mise à jour des liste des PDIs de ce site fait état d'une hausse de 03 individus. Cette hausse se justifierait par la naissance de 03 filles. La volonté de retour de ses PDIs dans les lieux d'origine n'est pas effective. Une mise à jour sera faite au mois de Février 2025 pour établir de plus la tendance du mouvement de population. "/>
    <s v="FNHOD"/>
  </r>
  <r>
    <x v="5"/>
    <s v="CF62"/>
    <x v="8"/>
    <s v="CF624"/>
    <s v="Rafai"/>
    <s v="CF6241"/>
    <s v="Agoumar 3"/>
    <s v="Site C"/>
    <s v="Lieu de regroupement"/>
    <n v="517"/>
    <n v="76"/>
    <n v="523"/>
    <n v="76"/>
    <n v="523"/>
    <n v="76"/>
    <n v="523"/>
    <n v="76"/>
    <n v="523"/>
    <n v="76"/>
    <x v="1"/>
    <n v="0"/>
    <x v="0"/>
    <s v="Janvier 2025"/>
    <s v="Non"/>
    <x v="1"/>
    <s v="Sans gestionnaire"/>
    <s v="Les activités de l'actualisation des listes des PDIs de ce site fait état d'une hausse de 06 personnes. Cette hausse se justifiérait par la naissance 04 garcons et 02 filles. Des cas de nouveaux arrivés ainsi que de retour volontaires ne sont pas documentés."/>
    <s v="FNHOD"/>
  </r>
  <r>
    <x v="5"/>
    <s v="CF62"/>
    <x v="9"/>
    <s v="CF621"/>
    <s v="Bangassou"/>
    <s v="CF6211"/>
    <s v="POMBOLO"/>
    <s v="POMBOLO"/>
    <s v="Lieu de regroupement"/>
    <m/>
    <m/>
    <m/>
    <m/>
    <m/>
    <m/>
    <n v="354"/>
    <n v="61"/>
    <n v="354"/>
    <n v="61"/>
    <x v="1"/>
    <n v="0"/>
    <x v="0"/>
    <s v="Mars 2025"/>
    <s v="Oui"/>
    <x v="2"/>
    <s v="CIAUD"/>
    <m/>
    <s v="CIAUD"/>
  </r>
  <r>
    <x v="5"/>
    <s v="CF62"/>
    <x v="9"/>
    <s v="CF621"/>
    <s v="Bangassou"/>
    <s v="CF6211"/>
    <s v="MADA-GRENGBADA"/>
    <s v="MADA-GRENGBADA"/>
    <s v="Lieu de regroupement"/>
    <m/>
    <m/>
    <m/>
    <m/>
    <m/>
    <m/>
    <n v="423"/>
    <n v="93"/>
    <n v="423"/>
    <n v="93"/>
    <x v="1"/>
    <n v="0"/>
    <x v="0"/>
    <s v="Mars 2025"/>
    <s v="Oui"/>
    <x v="2"/>
    <s v="CIAUD"/>
    <m/>
    <s v="CIAUD"/>
  </r>
  <r>
    <x v="5"/>
    <s v="CF62"/>
    <x v="9"/>
    <s v="CF621"/>
    <s v="Bangassou"/>
    <s v="CF6211"/>
    <s v="MALIKO LEPREUX"/>
    <s v="MALIKO LEPREUX"/>
    <s v="Lieu de regroupement"/>
    <m/>
    <m/>
    <m/>
    <m/>
    <m/>
    <m/>
    <n v="78"/>
    <n v="38"/>
    <n v="78"/>
    <n v="38"/>
    <x v="1"/>
    <n v="0"/>
    <x v="0"/>
    <s v="Mars 2025"/>
    <s v="Oui"/>
    <x v="2"/>
    <s v="CIAUD"/>
    <m/>
    <s v="CIAUD"/>
  </r>
  <r>
    <x v="6"/>
    <s v="CF42"/>
    <x v="10"/>
    <s v="CF421"/>
    <s v="Kaga-Bandoro"/>
    <s v="CF4211"/>
    <s v="Bakoute"/>
    <s v="Ecole Bakoute"/>
    <s v="Site"/>
    <m/>
    <m/>
    <m/>
    <m/>
    <m/>
    <m/>
    <m/>
    <m/>
    <m/>
    <m/>
    <x v="0"/>
    <n v="0"/>
    <x v="0"/>
    <s v="Novembre 2023"/>
    <s v="Non"/>
    <x v="0"/>
    <m/>
    <s v="Site fermé"/>
    <s v="INTERSOS"/>
  </r>
  <r>
    <x v="6"/>
    <s v="CF42"/>
    <x v="10"/>
    <s v="CF421"/>
    <s v="Grivaï-Pamia"/>
    <s v="CF4214"/>
    <s v="Axe Batangafo-Ouandago-Kabo"/>
    <s v="konvi 1"/>
    <s v="Site"/>
    <n v="144"/>
    <n v="32"/>
    <n v="141"/>
    <n v="32"/>
    <n v="141"/>
    <n v="32"/>
    <n v="141"/>
    <n v="32"/>
    <n v="141"/>
    <n v="32"/>
    <x v="1"/>
    <n v="0"/>
    <x v="0"/>
    <s v="Decembre 2024"/>
    <s v="Non"/>
    <x v="1"/>
    <s v="Sans gestionnaire"/>
    <m/>
    <s v="INTERSOS"/>
  </r>
  <r>
    <x v="6"/>
    <s v="CF42"/>
    <x v="10"/>
    <s v="CF421"/>
    <s v="Grivaï-Pamia"/>
    <s v="CF4214"/>
    <s v="Lazare"/>
    <s v="Lazaret"/>
    <s v="Site"/>
    <n v="3996"/>
    <n v="971"/>
    <n v="4164"/>
    <n v="991"/>
    <n v="4164"/>
    <n v="991"/>
    <n v="4164"/>
    <n v="991"/>
    <n v="4164"/>
    <n v="991"/>
    <x v="1"/>
    <n v="0"/>
    <x v="0"/>
    <s v="Janvier 2025"/>
    <s v="Non"/>
    <x v="2"/>
    <s v="CIAUD"/>
    <s v="Données de suivi de mobilité pour le cycle 23 (Mobility Tracking Round 23) "/>
    <s v="DTM IOM"/>
  </r>
  <r>
    <x v="6"/>
    <s v="CF42"/>
    <x v="10"/>
    <s v="CF421"/>
    <s v="Grivaï-Pamia"/>
    <s v="CF4214"/>
    <s v="Axe Batangafo-Ouandago-Kabo"/>
    <s v="Lega"/>
    <s v="Site"/>
    <n v="179"/>
    <n v="35"/>
    <n v="179"/>
    <n v="35"/>
    <n v="179"/>
    <n v="35"/>
    <n v="179"/>
    <n v="35"/>
    <n v="179"/>
    <n v="35"/>
    <x v="1"/>
    <n v="0"/>
    <x v="0"/>
    <s v="Decembre 2024"/>
    <s v="Non"/>
    <x v="2"/>
    <s v="CIAUD"/>
    <m/>
    <s v="INTERSOS"/>
  </r>
  <r>
    <x v="6"/>
    <s v="CF42"/>
    <x v="10"/>
    <s v="CF421"/>
    <s v="Kaga-Bandoro"/>
    <s v="CF4211"/>
    <s v="Ouandago"/>
    <s v="Mbaïndo"/>
    <s v="Site"/>
    <n v="112"/>
    <n v="26"/>
    <n v="112"/>
    <n v="26"/>
    <n v="112"/>
    <n v="26"/>
    <n v="112"/>
    <n v="26"/>
    <n v="112"/>
    <n v="26"/>
    <x v="1"/>
    <n v="0"/>
    <x v="0"/>
    <s v="Decembre 2024"/>
    <s v="Non"/>
    <x v="2"/>
    <s v="CIAUD"/>
    <m/>
    <s v="INTERSOS"/>
  </r>
  <r>
    <x v="6"/>
    <s v="CF42"/>
    <x v="10"/>
    <s v="CF421"/>
    <s v="Grivaï-Pamia"/>
    <s v="CF4214"/>
    <s v="Mbella"/>
    <s v="Mbella"/>
    <s v="Site"/>
    <n v="1408"/>
    <n v="371"/>
    <n v="1403"/>
    <n v="371"/>
    <n v="1403"/>
    <n v="371"/>
    <n v="1403"/>
    <n v="371"/>
    <n v="1403"/>
    <n v="371"/>
    <x v="1"/>
    <n v="0"/>
    <x v="0"/>
    <s v="Janvier 2025"/>
    <s v="Non"/>
    <x v="2"/>
    <s v="CIAUD"/>
    <s v="Données de suivi de mobilité pour le cycle 23 (Mobility Tracking Round 23) "/>
    <s v="DTM IOM"/>
  </r>
  <r>
    <x v="6"/>
    <s v="CF42"/>
    <x v="10"/>
    <s v="CF421"/>
    <s v="Kaga-Bandoro"/>
    <s v="CF4211"/>
    <s v="Kokorota"/>
    <s v="Minusca"/>
    <s v="Site"/>
    <m/>
    <m/>
    <m/>
    <m/>
    <m/>
    <m/>
    <m/>
    <m/>
    <m/>
    <m/>
    <x v="0"/>
    <n v="0"/>
    <x v="0"/>
    <s v="Aout 2024"/>
    <s v="Non"/>
    <x v="0"/>
    <m/>
    <s v="Les  PDIs du site de la MINUSCA dont la majorité viennent de différent quartiers de Kaga Bandoro centre, Botto, Ouandago, Bangui, Mbrés, Grevai et Bambari sont tous retournés dans leurs lieux de provenance suite a l'appui au retour fait par le HCR et OIM sous financement du FH et BHA. Les abris de ces PDI sont tous démolis"/>
    <s v="INTERSOS"/>
  </r>
  <r>
    <x v="6"/>
    <s v="CF42"/>
    <x v="10"/>
    <s v="CF421"/>
    <s v="Kaga-Bandoro"/>
    <s v="CF4211"/>
    <s v="Ouandago"/>
    <s v="Ngamna"/>
    <s v="Site"/>
    <n v="144"/>
    <n v="28"/>
    <n v="144"/>
    <n v="28"/>
    <n v="144"/>
    <n v="28"/>
    <n v="144"/>
    <n v="28"/>
    <n v="144"/>
    <n v="28"/>
    <x v="1"/>
    <n v="0"/>
    <x v="0"/>
    <s v="Decembre 2024"/>
    <s v="Non"/>
    <x v="1"/>
    <s v="Sans gestionnaire"/>
    <m/>
    <s v="INTERSOS"/>
  </r>
  <r>
    <x v="6"/>
    <s v="CF42"/>
    <x v="10"/>
    <s v="CF421"/>
    <s v="Kaga-Bandoro"/>
    <s v="CF4211"/>
    <s v="Ouandago"/>
    <s v="Oro- Djafoun/Ouandago"/>
    <s v="Site"/>
    <n v="207"/>
    <n v="44"/>
    <n v="205"/>
    <n v="43"/>
    <n v="205"/>
    <n v="43"/>
    <n v="205"/>
    <n v="43"/>
    <n v="205"/>
    <n v="43"/>
    <x v="1"/>
    <n v="0"/>
    <x v="0"/>
    <s v="Janvier 2025"/>
    <s v="Non"/>
    <x v="2"/>
    <s v="CIAUD"/>
    <s v="Données de suivi de mobilité pour le cycle 23 (Mobility Tracking Round 23) "/>
    <s v="DTM IOM"/>
  </r>
  <r>
    <x v="6"/>
    <s v="CF42"/>
    <x v="10"/>
    <s v="CF421"/>
    <s v="Kaga-Bandoro"/>
    <s v="CF4211"/>
    <s v="Ouandago"/>
    <s v="Vami 1"/>
    <s v="Site"/>
    <n v="202"/>
    <n v="48"/>
    <n v="201"/>
    <n v="48"/>
    <n v="201"/>
    <n v="48"/>
    <n v="201"/>
    <n v="48"/>
    <n v="201"/>
    <n v="48"/>
    <x v="1"/>
    <n v="0"/>
    <x v="0"/>
    <s v="Janvier 2025"/>
    <s v="Non"/>
    <x v="2"/>
    <s v="CIAUD"/>
    <s v="Données de suivi de mobilité pour le cycle 23 (Mobility Tracking Round 23) "/>
    <s v="DTM IOM"/>
  </r>
  <r>
    <x v="6"/>
    <s v="CF42"/>
    <x v="10"/>
    <s v="CF421"/>
    <s v="Kaga-Bandoro"/>
    <s v="CF4211"/>
    <s v="Ouandago"/>
    <s v="Vami 3"/>
    <s v="Site"/>
    <n v="190"/>
    <n v="50"/>
    <n v="189"/>
    <n v="50"/>
    <n v="189"/>
    <n v="50"/>
    <n v="189"/>
    <n v="50"/>
    <n v="189"/>
    <n v="50"/>
    <x v="1"/>
    <n v="0"/>
    <x v="0"/>
    <s v="Janvier 2025"/>
    <s v="Non"/>
    <x v="2"/>
    <s v="CIAUD"/>
    <s v="Données de suivi de mobilité pour le cycle 23 (Mobility Tracking Round 23) "/>
    <s v="DTM IOM"/>
  </r>
  <r>
    <x v="1"/>
    <s v="CF71"/>
    <x v="1"/>
    <s v="CF713"/>
    <s v="Bimbo"/>
    <s v="CF7133"/>
    <s v="Bimbo"/>
    <s v="Atib"/>
    <s v="Site"/>
    <n v="1218"/>
    <n v="214"/>
    <n v="1218"/>
    <n v="214"/>
    <n v="1218"/>
    <n v="214"/>
    <n v="57"/>
    <n v="25"/>
    <n v="57"/>
    <n v="25"/>
    <x v="1"/>
    <n v="0"/>
    <x v="0"/>
    <s v="Mars 2025"/>
    <s v="Oui"/>
    <x v="1"/>
    <s v="Sans gestionnaire"/>
    <s v="RAPPORT DE LA VISITE TERRAIN A BANGUI -_x000a_Vendredi, 25 avril 2025 - Cluster national"/>
    <s v="Cluster National CCCM"/>
  </r>
  <r>
    <x v="1"/>
    <s v="CF71"/>
    <x v="1"/>
    <s v="CF713"/>
    <s v="Bimbo"/>
    <s v="CF7133"/>
    <s v="Sambrola"/>
    <s v="Centre émetteur"/>
    <s v="Site"/>
    <m/>
    <m/>
    <m/>
    <m/>
    <m/>
    <m/>
    <m/>
    <m/>
    <m/>
    <m/>
    <x v="0"/>
    <n v="0"/>
    <x v="0"/>
    <s v="Fevrier 2023"/>
    <s v="Non"/>
    <x v="0"/>
    <m/>
    <s v="Les personnes retournées dans les lieux d'origine"/>
    <s v="DTM IOM"/>
  </r>
  <r>
    <x v="1"/>
    <s v="CF71"/>
    <x v="1"/>
    <s v="CF713"/>
    <s v="Bimbo"/>
    <s v="CF7133"/>
    <s v="Bimbo"/>
    <s v="Cité Landja 2"/>
    <s v="Site"/>
    <m/>
    <m/>
    <m/>
    <m/>
    <m/>
    <m/>
    <m/>
    <m/>
    <m/>
    <m/>
    <x v="0"/>
    <n v="0"/>
    <x v="0"/>
    <s v="Novembre 2023"/>
    <s v="Non"/>
    <x v="0"/>
    <m/>
    <s v="Site fermé"/>
    <s v="OIM"/>
  </r>
  <r>
    <x v="1"/>
    <s v="CF71"/>
    <x v="1"/>
    <s v="CF713"/>
    <s v="Bimbo"/>
    <s v="CF7133"/>
    <s v="Cite Kodjo"/>
    <s v="Kodjo"/>
    <s v="Site"/>
    <m/>
    <m/>
    <m/>
    <m/>
    <m/>
    <m/>
    <m/>
    <m/>
    <m/>
    <m/>
    <x v="0"/>
    <n v="0"/>
    <x v="0"/>
    <s v="Mars 2024"/>
    <s v="Non"/>
    <x v="0"/>
    <m/>
    <s v="Mise à jour"/>
    <s v="PARET"/>
  </r>
  <r>
    <x v="1"/>
    <s v="CF71"/>
    <x v="1"/>
    <s v="CF713"/>
    <s v="Bimbo"/>
    <s v="CF7133"/>
    <s v="Bimbo"/>
    <s v="Port petrolier"/>
    <s v="Lieu de regroupement"/>
    <n v="882"/>
    <n v="147"/>
    <n v="882"/>
    <n v="147"/>
    <n v="882"/>
    <n v="147"/>
    <n v="24"/>
    <n v="6"/>
    <n v="24"/>
    <n v="6"/>
    <x v="1"/>
    <n v="0"/>
    <x v="0"/>
    <s v="Mars 2025"/>
    <s v="Oui"/>
    <x v="1"/>
    <s v="Sans gestionnaire"/>
    <s v="RAPPORT DE LA VISITE TERRAIN A BANGUI -_x000a_Vendredi, 25 avril 2025 - Cluster national"/>
    <s v="Cluster National CCCM"/>
  </r>
  <r>
    <x v="7"/>
    <s v="CF43"/>
    <x v="11"/>
    <s v="CF431"/>
    <s v="Bambari"/>
    <s v="CF4311"/>
    <s v="Bambari"/>
    <s v="Aviation Ecole"/>
    <s v="Site"/>
    <n v="3668"/>
    <n v="792"/>
    <n v="3668"/>
    <n v="792"/>
    <n v="3668"/>
    <n v="792"/>
    <n v="3668"/>
    <n v="792"/>
    <n v="3668"/>
    <n v="792"/>
    <x v="1"/>
    <n v="0"/>
    <x v="0"/>
    <s v="Avril 2025"/>
    <s v="Oui"/>
    <x v="2"/>
    <s v="CIAUD"/>
    <s v="Le retour de ces PDI à leurs domiciles est dû à la stabilité securitaire observée dans leurs localités de provenance à savoir Bakala, Ndachem, Ndara, Mabissi, Gralendji et le site de construction de Mbonou. "/>
    <s v="CIAUD"/>
  </r>
  <r>
    <x v="7"/>
    <s v="CF43"/>
    <x v="12"/>
    <s v="CF435"/>
    <s v="Ippy"/>
    <s v="CF4351"/>
    <s v="Ippy"/>
    <s v="Bougoyo"/>
    <s v="Site"/>
    <n v="1151"/>
    <n v="135"/>
    <n v="1230"/>
    <n v="205"/>
    <n v="1230"/>
    <n v="205"/>
    <n v="1230"/>
    <n v="205"/>
    <n v="1230"/>
    <n v="205"/>
    <x v="1"/>
    <n v="0"/>
    <x v="0"/>
    <s v="Janvier 2025"/>
    <s v="Non"/>
    <x v="1"/>
    <s v="Sans gestionnaire"/>
    <s v="Données de suivi de mobilité pour le cycle 23 (Mobility Tracking Round 23) "/>
    <s v="DTM IOM"/>
  </r>
  <r>
    <x v="7"/>
    <s v="CF43"/>
    <x v="13"/>
    <s v="CF434"/>
    <s v="Ngougbia"/>
    <s v="CF4313"/>
    <s v="Ngakobo"/>
    <s v="Cite maitrise (Club)"/>
    <s v="Site"/>
    <m/>
    <m/>
    <m/>
    <m/>
    <m/>
    <m/>
    <m/>
    <m/>
    <m/>
    <m/>
    <x v="0"/>
    <n v="0"/>
    <x v="0"/>
    <s v="Juin 2024"/>
    <s v="Non"/>
    <x v="5"/>
    <m/>
    <s v="Rapport disponible 349 ménages de 1792 PDIs qui resident sites Ngakobo ont accès à l'intégration locale definitive sur la parcelle qui leur a été octroyée par le Président de la Délégation Spéciale de la ville de Ngakobo en la date du 28 Juin 2024. A ce jour aucun PDI ne reside sur le site Maitrise Club de Ngakobo. "/>
    <s v="INTERSOS"/>
  </r>
  <r>
    <x v="7"/>
    <s v="CF43"/>
    <x v="12"/>
    <s v="CF435"/>
    <s v="Ippy"/>
    <s v="CF4351"/>
    <s v="Ippy"/>
    <s v="Foulbe"/>
    <s v="Site"/>
    <n v="1133"/>
    <n v="305"/>
    <n v="1133"/>
    <n v="305"/>
    <n v="1133"/>
    <n v="305"/>
    <n v="1133"/>
    <n v="305"/>
    <n v="1133"/>
    <n v="305"/>
    <x v="1"/>
    <n v="0"/>
    <x v="0"/>
    <s v="Janvier 2025"/>
    <s v="Non"/>
    <x v="1"/>
    <s v="Sans gestionnaire"/>
    <s v="Données de suivi de mobilité pour le cycle 23 (Mobility Tracking Round 23) "/>
    <s v="DTM IOM"/>
  </r>
  <r>
    <x v="7"/>
    <s v="CF43"/>
    <x v="11"/>
    <s v="CF431"/>
    <s v="Pladama-Ouaka"/>
    <s v="CF4314"/>
    <s v="Pladama Ouaka"/>
    <s v="Lapago"/>
    <s v="Site"/>
    <m/>
    <m/>
    <m/>
    <m/>
    <m/>
    <m/>
    <m/>
    <m/>
    <m/>
    <m/>
    <x v="0"/>
    <n v="0"/>
    <x v="0"/>
    <s v="Avril 2024"/>
    <s v="Non"/>
    <x v="0"/>
    <m/>
    <s v="integration locale"/>
    <m/>
  </r>
  <r>
    <x v="7"/>
    <s v="CF43"/>
    <x v="11"/>
    <s v="CF431"/>
    <s v="Danga-Gboudou"/>
    <s v="CF4312"/>
    <s v="Tagbara"/>
    <s v="Maloum"/>
    <s v="Site"/>
    <n v="1156"/>
    <n v="266"/>
    <n v="1156"/>
    <n v="266"/>
    <n v="1156"/>
    <n v="266"/>
    <n v="1156"/>
    <n v="266"/>
    <n v="1156"/>
    <n v="266"/>
    <x v="1"/>
    <n v="0"/>
    <x v="0"/>
    <s v="Avril 2025"/>
    <s v="Oui"/>
    <x v="2"/>
    <s v="CIAUD"/>
    <s v=" Le suivi  de mouvement  des données démographique des populations de site Maloum  du mois de Décembre 2024 s'oriente vers le retour. Un constat  de 16 ménages de 65  PDIs retournés dans la zone d'origine de rétour d'Ippy,Boyo,Bambari ,Bangui Zoumako et Galougou"/>
    <s v="CIAUD"/>
  </r>
  <r>
    <x v="7"/>
    <s v="CF43"/>
    <x v="11"/>
    <s v="CF431"/>
    <s v="Danga-Gboudou"/>
    <s v="CF4312"/>
    <s v="Matchika"/>
    <s v="Matchika"/>
    <s v="Site"/>
    <n v="1263"/>
    <n v="241"/>
    <n v="1263"/>
    <n v="241"/>
    <n v="1263"/>
    <n v="241"/>
    <n v="1263"/>
    <n v="241"/>
    <n v="1263"/>
    <n v="241"/>
    <x v="1"/>
    <n v="0"/>
    <x v="0"/>
    <s v="Octobre 2024"/>
    <s v="Non"/>
    <x v="1"/>
    <s v="Sans gestionnaire"/>
    <s v="Mise à jour"/>
    <s v="APVM"/>
  </r>
  <r>
    <x v="7"/>
    <s v="CF43"/>
    <x v="11"/>
    <s v="CF431"/>
    <s v="Bambari"/>
    <s v="CF4311"/>
    <m/>
    <s v="Mbagolo"/>
    <s v="Lieu de regroupement"/>
    <n v="510"/>
    <n v="102"/>
    <n v="510"/>
    <n v="107"/>
    <n v="510"/>
    <n v="107"/>
    <n v="510"/>
    <n v="107"/>
    <n v="510"/>
    <n v="107"/>
    <x v="1"/>
    <n v="0"/>
    <x v="0"/>
    <s v="Janvier 2025"/>
    <s v="Non"/>
    <x v="1"/>
    <s v="Sans gestionnaire"/>
    <s v="Données de suivi de mobilité pour le cycle 23 (Mobility Tracking Round 23) "/>
    <s v="DTM IOM"/>
  </r>
  <r>
    <x v="7"/>
    <s v="CF43"/>
    <x v="14"/>
    <s v="CF432"/>
    <s v="Koudou-Bégo"/>
    <s v="CF4321"/>
    <s v="Bakala"/>
    <s v="Minusca "/>
    <s v="Site"/>
    <n v="150"/>
    <n v="35"/>
    <n v="150"/>
    <n v="35"/>
    <n v="150"/>
    <n v="35"/>
    <n v="150"/>
    <n v="35"/>
    <n v="150"/>
    <n v="35"/>
    <x v="1"/>
    <n v="0"/>
    <x v="0"/>
    <s v="Avril 2025"/>
    <s v="Oui"/>
    <x v="2"/>
    <s v="CIAUD"/>
    <m/>
    <s v="CIAUD"/>
  </r>
  <r>
    <x v="7"/>
    <s v="CF43"/>
    <x v="11"/>
    <s v="CF431"/>
    <s v="Bambari"/>
    <s v="CF4311"/>
    <s v="Bambari"/>
    <s v="MINUSCA PK 8"/>
    <s v="Site"/>
    <n v="662"/>
    <n v="168"/>
    <n v="662"/>
    <n v="168"/>
    <n v="662"/>
    <n v="168"/>
    <n v="662"/>
    <n v="168"/>
    <n v="662"/>
    <n v="168"/>
    <x v="1"/>
    <n v="0"/>
    <x v="0"/>
    <s v="Avril 2025"/>
    <s v="Oui"/>
    <x v="2"/>
    <s v="CIAUD"/>
    <m/>
    <s v="CIAUD"/>
  </r>
  <r>
    <x v="7"/>
    <s v="CF43"/>
    <x v="11"/>
    <s v="CF431"/>
    <s v="Bambari"/>
    <s v="CF4311"/>
    <s v="Frameau"/>
    <s v="PARC 2"/>
    <s v="Site"/>
    <n v="775"/>
    <n v="198"/>
    <n v="760"/>
    <n v="185"/>
    <n v="760"/>
    <n v="185"/>
    <n v="760"/>
    <n v="185"/>
    <n v="760"/>
    <n v="185"/>
    <x v="1"/>
    <n v="0"/>
    <x v="0"/>
    <s v="Janvier 2025"/>
    <s v="Non"/>
    <x v="1"/>
    <s v="Sans gestionnaire"/>
    <s v="Données de suivi de mobilité pour le cycle 23 (Mobility Tracking Round 23) "/>
    <s v="DTM IOM"/>
  </r>
  <r>
    <x v="7"/>
    <s v="CF43"/>
    <x v="11"/>
    <s v="CF431"/>
    <s v="Pladama-Ouaka"/>
    <s v="CF4314"/>
    <s v="Bambari"/>
    <s v="PK3"/>
    <s v="Site"/>
    <n v="913"/>
    <n v="182"/>
    <n v="913"/>
    <n v="182"/>
    <n v="913"/>
    <n v="182"/>
    <n v="913"/>
    <n v="182"/>
    <n v="913"/>
    <n v="182"/>
    <x v="1"/>
    <n v="0"/>
    <x v="0"/>
    <s v="Octobre 2024"/>
    <s v="Non"/>
    <x v="1"/>
    <s v="Sans gestionnaire"/>
    <m/>
    <m/>
  </r>
  <r>
    <x v="7"/>
    <s v="CF43"/>
    <x v="12"/>
    <s v="CF435"/>
    <s v="Ippy"/>
    <s v="CF4351"/>
    <s v="Ippy"/>
    <s v="Yetomane"/>
    <s v="Site"/>
    <m/>
    <m/>
    <m/>
    <m/>
    <m/>
    <m/>
    <m/>
    <m/>
    <m/>
    <m/>
    <x v="0"/>
    <n v="0"/>
    <x v="0"/>
    <s v="Juin 2024"/>
    <s v="Non"/>
    <x v="0"/>
    <m/>
    <s v="D'après le coordo programme de INTERSOS et le sous-cluster de Bambari, les PDI du site de Yetomane  ont tous quitté le site pour regagner un espace octroyé par les autorités locales. Donc le site de Yetomane n'existe plus depuis 2 mois. il faut plutôt compter ces ménages dans les familles d'accueil dans la commune de Ippy et mentionner comme commentaire site fermé suite à la relocalisation des PDI par les autorités locales."/>
    <s v="INTERSOS"/>
  </r>
  <r>
    <x v="8"/>
    <s v="CF33"/>
    <x v="15"/>
    <s v="CF331"/>
    <s v="Batangafo"/>
    <s v="CF3311"/>
    <s v="Batangafo"/>
    <s v="Alternatif"/>
    <s v="Site"/>
    <n v="416"/>
    <n v="97"/>
    <n v="418"/>
    <n v="97"/>
    <n v="418"/>
    <n v="97"/>
    <n v="418"/>
    <n v="97"/>
    <n v="418"/>
    <n v="97"/>
    <x v="1"/>
    <n v="0"/>
    <x v="0"/>
    <s v="Janvier 2025"/>
    <s v="Non"/>
    <x v="2"/>
    <s v="INTERSOS"/>
    <s v="Données de suivi de mobilité pour le cycle 23 (Mobility Tracking Round 23) "/>
    <s v="DTM IOM"/>
  </r>
  <r>
    <x v="8"/>
    <s v="CF33"/>
    <x v="16"/>
    <s v="CF332"/>
    <s v="Sido"/>
    <s v="CF3322"/>
    <s v="Bongonon"/>
    <s v="Bongonon"/>
    <s v="Site"/>
    <n v="2"/>
    <n v="2"/>
    <n v="2"/>
    <n v="2"/>
    <n v="2"/>
    <n v="2"/>
    <n v="2"/>
    <n v="2"/>
    <n v="2"/>
    <n v="2"/>
    <x v="1"/>
    <n v="0"/>
    <x v="0"/>
    <s v="Decembre 2024"/>
    <s v="Non"/>
    <x v="1"/>
    <s v="Sans gestionnaire"/>
    <s v="il a été constaté que 09 ménages  pour un effectif de 43 individus,dont 09 hommes , 09 femmes, 12 garçons et 13 filles  ont quitté volontairement  le site pour regagner leurs villages de provenance respectifs à savoir Botéré 1 et 2, Bokambaye et Bogama, afin de rejoindre les membres de leur famille. Ce retour se justifie par l’amélioration du contexte sécuritaire observée dans ces lieux de provenance, l’envie de reprendre les activités champêtres, facteur de résilience et d’autonomisation. Par ailleurs on note les deux (02) cas  de décès des hommes âgés, enregistrés lors de la mise en œuvre de l’activité, de suite d’une longue maladie, mais aucun cas de naissance n’a été identifié.  "/>
    <s v="CIAUD"/>
  </r>
  <r>
    <x v="8"/>
    <s v="CF33"/>
    <x v="17"/>
    <s v="CF333"/>
    <s v="Bouca Bobo"/>
    <s v="CF3331"/>
    <s v="Botombo"/>
    <s v="Botombo"/>
    <s v="Site"/>
    <n v="205"/>
    <n v="51"/>
    <n v="203"/>
    <n v="51"/>
    <n v="203"/>
    <n v="51"/>
    <n v="203"/>
    <n v="51"/>
    <n v="210"/>
    <n v="51"/>
    <x v="3"/>
    <n v="7"/>
    <x v="0"/>
    <s v="Avril 2025"/>
    <s v="Oui"/>
    <x v="2"/>
    <s v="CIAUD"/>
    <s v="Mise a jour"/>
    <s v="CIAUD"/>
  </r>
  <r>
    <x v="8"/>
    <s v="CF33"/>
    <x v="17"/>
    <s v="CF333"/>
    <s v="Bouca Bobo"/>
    <s v="CF3331"/>
    <s v="Bouca"/>
    <s v="Bouca Centre"/>
    <s v="Site"/>
    <m/>
    <m/>
    <m/>
    <m/>
    <m/>
    <m/>
    <m/>
    <m/>
    <m/>
    <m/>
    <x v="0"/>
    <n v="0"/>
    <x v="0"/>
    <s v="Aout 2024"/>
    <s v="Non"/>
    <x v="5"/>
    <m/>
    <s v="Bouca centre et Mission catholique cest le meme site qui est compte double dans le fichier"/>
    <s v="INTERSOS"/>
  </r>
  <r>
    <x v="8"/>
    <s v="CF33"/>
    <x v="16"/>
    <s v="CF332"/>
    <s v="Moyenne Sido"/>
    <s v="CF3341"/>
    <s v="Moyenne Sido"/>
    <s v="Cite de la Paix"/>
    <s v="Site"/>
    <n v="1389"/>
    <n v="288"/>
    <n v="1388"/>
    <n v="288"/>
    <n v="1388"/>
    <n v="288"/>
    <n v="1388"/>
    <n v="288"/>
    <n v="1388"/>
    <n v="288"/>
    <x v="1"/>
    <n v="0"/>
    <x v="0"/>
    <s v="Decembre 2024"/>
    <s v="Non"/>
    <x v="2"/>
    <s v="INTERSOS"/>
    <m/>
    <s v="CIAUD"/>
  </r>
  <r>
    <x v="8"/>
    <s v="CF33"/>
    <x v="15"/>
    <s v="CF331"/>
    <s v="Batangafo"/>
    <s v="CF3311"/>
    <s v="Dihiri"/>
    <s v="Dihiri 2"/>
    <s v="Site"/>
    <m/>
    <m/>
    <m/>
    <m/>
    <m/>
    <m/>
    <m/>
    <m/>
    <m/>
    <m/>
    <x v="0"/>
    <n v="0"/>
    <x v="0"/>
    <s v="Janvier 2024"/>
    <s v="Non"/>
    <x v="5"/>
    <m/>
    <s v="DIHIRI n'estp plus un site mais plutôt  un ancien site qui est devenu quartier intégré de Batangafo, depuis 2020"/>
    <s v="INTERSOS"/>
  </r>
  <r>
    <x v="8"/>
    <s v="CF33"/>
    <x v="15"/>
    <s v="CF331"/>
    <s v="Batangafo"/>
    <s v="CF3311"/>
    <s v="Batangafo"/>
    <s v="Ecole Bagga"/>
    <s v="Site"/>
    <n v="681"/>
    <n v="130"/>
    <n v="678"/>
    <n v="130"/>
    <n v="678"/>
    <n v="130"/>
    <n v="678"/>
    <n v="130"/>
    <n v="678"/>
    <n v="130"/>
    <x v="1"/>
    <n v="0"/>
    <x v="0"/>
    <s v="Janvier 2025"/>
    <s v="Non"/>
    <x v="2"/>
    <s v="INTERSOS"/>
    <s v="Données de suivi de mobilité pour le cycle 23 (Mobility Tracking Round 23) "/>
    <s v="DTM IOM"/>
  </r>
  <r>
    <x v="8"/>
    <s v="CF33"/>
    <x v="16"/>
    <s v="CF332"/>
    <s v="Sido"/>
    <s v="CF3322"/>
    <s v="Farazala"/>
    <s v="Farazala A"/>
    <s v="Site"/>
    <n v="439"/>
    <n v="119"/>
    <n v="437"/>
    <n v="119"/>
    <n v="437"/>
    <n v="119"/>
    <n v="437"/>
    <n v="119"/>
    <n v="397"/>
    <n v="108"/>
    <x v="4"/>
    <n v="-40"/>
    <x v="1"/>
    <s v="Avril 2025"/>
    <s v="Oui"/>
    <x v="2"/>
    <s v="CIAUD"/>
    <s v="Mise a jour"/>
    <s v="CIAUD"/>
  </r>
  <r>
    <x v="8"/>
    <s v="CF33"/>
    <x v="16"/>
    <s v="CF332"/>
    <s v="Sido"/>
    <s v="CF3322"/>
    <s v="Farazala 1"/>
    <s v="Farazala B"/>
    <s v="Site"/>
    <n v="28"/>
    <n v="7"/>
    <n v="28"/>
    <n v="7"/>
    <n v="28"/>
    <n v="7"/>
    <n v="28"/>
    <n v="7"/>
    <n v="28"/>
    <n v="7"/>
    <x v="1"/>
    <n v="0"/>
    <x v="0"/>
    <s v="Decembre 2024"/>
    <s v="Non"/>
    <x v="2"/>
    <s v="CIAUD"/>
    <m/>
    <s v="CIAUD"/>
  </r>
  <r>
    <x v="8"/>
    <s v="CF33"/>
    <x v="17"/>
    <s v="CF333"/>
    <s v="Bouca Bobo"/>
    <s v="CF3331"/>
    <s v="Bouca"/>
    <s v="GBADE"/>
    <s v="Site"/>
    <n v="33"/>
    <n v="6"/>
    <n v="33"/>
    <n v="6"/>
    <n v="33"/>
    <n v="6"/>
    <n v="33"/>
    <n v="6"/>
    <n v="33"/>
    <n v="6"/>
    <x v="1"/>
    <n v="0"/>
    <x v="0"/>
    <s v="Decembre 2024"/>
    <s v="Non"/>
    <x v="1"/>
    <s v="Sans gestionnaire"/>
    <m/>
    <s v="CIAUD"/>
  </r>
  <r>
    <x v="8"/>
    <s v="CF33"/>
    <x v="17"/>
    <s v="CF333"/>
    <s v="Lady Gbawi"/>
    <s v="CF3332"/>
    <s v="Gbakaya"/>
    <s v="Gbakaya"/>
    <s v="Site"/>
    <n v="524"/>
    <n v="149"/>
    <n v="521"/>
    <n v="149"/>
    <n v="521"/>
    <n v="149"/>
    <n v="521"/>
    <n v="149"/>
    <n v="380"/>
    <n v="107"/>
    <x v="5"/>
    <n v="-141"/>
    <x v="1"/>
    <s v="Avril 2025"/>
    <s v="Oui"/>
    <x v="2"/>
    <s v="CIAUD"/>
    <s v="Mise a jour"/>
    <s v="CIAUD"/>
  </r>
  <r>
    <x v="8"/>
    <s v="CF33"/>
    <x v="17"/>
    <s v="CF333"/>
    <s v="Lady Gbawi"/>
    <s v="CF3332"/>
    <s v="Lady Gbawi"/>
    <s v="Gbawi B"/>
    <s v="Site"/>
    <m/>
    <m/>
    <m/>
    <m/>
    <m/>
    <m/>
    <m/>
    <m/>
    <m/>
    <m/>
    <x v="0"/>
    <n v="0"/>
    <x v="0"/>
    <s v="Aout 2024"/>
    <s v="Non"/>
    <x v="5"/>
    <m/>
    <s v="Site feme"/>
    <s v="INTERSOS"/>
  </r>
  <r>
    <x v="8"/>
    <s v="CF33"/>
    <x v="15"/>
    <s v="CF331"/>
    <s v="Ouassi"/>
    <s v="CF3314"/>
    <s v="Gbazara"/>
    <s v="Gbazara A"/>
    <s v="Site"/>
    <n v="574"/>
    <n v="116"/>
    <n v="572"/>
    <n v="116"/>
    <n v="572"/>
    <n v="116"/>
    <n v="572"/>
    <n v="116"/>
    <n v="528"/>
    <n v="106"/>
    <x v="6"/>
    <n v="-44"/>
    <x v="1"/>
    <s v="Avril 2025"/>
    <s v="Oui"/>
    <x v="2"/>
    <s v="CIAUD"/>
    <s v="Mise a jour"/>
    <s v="CIAUD"/>
  </r>
  <r>
    <x v="8"/>
    <s v="CF33"/>
    <x v="15"/>
    <s v="CF331"/>
    <s v="Ouassi"/>
    <s v="CF3314"/>
    <s v="Gbazara"/>
    <s v="Gbazara B"/>
    <s v="Site"/>
    <n v="558"/>
    <n v="110"/>
    <n v="558"/>
    <n v="110"/>
    <n v="558"/>
    <n v="110"/>
    <n v="558"/>
    <n v="110"/>
    <n v="567"/>
    <n v="115"/>
    <x v="7"/>
    <n v="9"/>
    <x v="0"/>
    <s v="Avril 2025"/>
    <s v="Oui"/>
    <x v="2"/>
    <s v="CIAUD"/>
    <s v="Mise a jour"/>
    <s v="CIAUD"/>
  </r>
  <r>
    <x v="8"/>
    <s v="CF33"/>
    <x v="17"/>
    <s v="CF333"/>
    <s v="Bouca Bobo"/>
    <s v="CF3331"/>
    <s v="Gbigbi"/>
    <s v="Gbigbi"/>
    <s v="Site"/>
    <n v="21"/>
    <n v="5"/>
    <n v="21"/>
    <n v="5"/>
    <n v="21"/>
    <n v="5"/>
    <n v="21"/>
    <n v="5"/>
    <n v="22"/>
    <n v="5"/>
    <x v="8"/>
    <n v="1"/>
    <x v="0"/>
    <s v="Avril 2025"/>
    <s v="Oui"/>
    <x v="2"/>
    <s v="CIAUD"/>
    <m/>
    <s v="CIAUD"/>
  </r>
  <r>
    <x v="9"/>
    <s v="CF32"/>
    <x v="18"/>
    <s v="CF321"/>
    <s v="Bossangoa"/>
    <s v="CF3211"/>
    <s v="Bossangoa"/>
    <s v="Hopital de District"/>
    <s v="Site"/>
    <m/>
    <m/>
    <m/>
    <m/>
    <m/>
    <m/>
    <m/>
    <m/>
    <m/>
    <m/>
    <x v="0"/>
    <n v="0"/>
    <x v="0"/>
    <s v="Novembre 2023"/>
    <s v="Non"/>
    <x v="6"/>
    <m/>
    <s v="Site fermé"/>
    <s v="MSF"/>
  </r>
  <r>
    <x v="8"/>
    <s v="CF33"/>
    <x v="17"/>
    <s v="CF333"/>
    <s v="Bouca Bobo"/>
    <s v="CF3331"/>
    <s v=" Bouca Maraze"/>
    <s v="Kawa"/>
    <s v="Site"/>
    <m/>
    <m/>
    <m/>
    <m/>
    <m/>
    <m/>
    <m/>
    <m/>
    <m/>
    <m/>
    <x v="0"/>
    <n v="0"/>
    <x v="0"/>
    <s v="Novembre 2023"/>
    <s v="Non"/>
    <x v="5"/>
    <m/>
    <s v="Site fermé"/>
    <s v="INTERSOS"/>
  </r>
  <r>
    <x v="8"/>
    <s v="CF33"/>
    <x v="17"/>
    <s v="CF333"/>
    <s v="Bouca Bobo"/>
    <s v="CF3331"/>
    <s v="Bouca Maraze"/>
    <s v="Kozoro 1"/>
    <s v="Site"/>
    <m/>
    <m/>
    <m/>
    <m/>
    <m/>
    <m/>
    <m/>
    <m/>
    <m/>
    <m/>
    <x v="0"/>
    <n v="0"/>
    <x v="0"/>
    <s v="Novembre 2023"/>
    <s v="Non"/>
    <x v="5"/>
    <m/>
    <s v="Site fermé"/>
    <s v="INTERSOS"/>
  </r>
  <r>
    <x v="8"/>
    <s v="CF33"/>
    <x v="17"/>
    <s v="CF333"/>
    <s v="Lady Gbawi"/>
    <s v="CF3332"/>
    <s v="Lady Gbawi"/>
    <s v="Lady A"/>
    <s v="Site"/>
    <n v="109"/>
    <n v="20"/>
    <n v="81"/>
    <n v="18"/>
    <n v="81"/>
    <n v="18"/>
    <n v="81"/>
    <n v="18"/>
    <n v="109"/>
    <n v="20"/>
    <x v="9"/>
    <n v="28"/>
    <x v="0"/>
    <s v="Avril 2025"/>
    <s v="Oui"/>
    <x v="2"/>
    <s v="CIAUD"/>
    <s v="Mise a jour"/>
    <s v="CIAUD"/>
  </r>
  <r>
    <x v="8"/>
    <s v="CF33"/>
    <x v="17"/>
    <s v="CF333"/>
    <s v="Lady Gbawi"/>
    <s v="CF3332"/>
    <s v="Lady Gbawi"/>
    <s v="Lady B"/>
    <s v="Site"/>
    <n v="81"/>
    <n v="18"/>
    <n v="109"/>
    <n v="20"/>
    <n v="109"/>
    <n v="20"/>
    <n v="109"/>
    <n v="20"/>
    <n v="81"/>
    <n v="18"/>
    <x v="10"/>
    <n v="-28"/>
    <x v="1"/>
    <s v="Avril 2025"/>
    <s v="Oui"/>
    <x v="2"/>
    <s v="CIAUD"/>
    <s v="Mise a jour"/>
    <s v="CIAUD"/>
  </r>
  <r>
    <x v="8"/>
    <s v="CF33"/>
    <x v="15"/>
    <s v="CF331"/>
    <s v="Batangafo"/>
    <s v="CF3311"/>
    <s v="Batangafo"/>
    <s v="Maison des jeunes"/>
    <s v="Site"/>
    <n v="360"/>
    <n v="92"/>
    <n v="360"/>
    <n v="92"/>
    <n v="360"/>
    <n v="92"/>
    <n v="360"/>
    <n v="92"/>
    <n v="360"/>
    <n v="92"/>
    <x v="1"/>
    <n v="0"/>
    <x v="0"/>
    <s v="Decembre 2024"/>
    <s v="Non"/>
    <x v="2"/>
    <s v="INTERSOS"/>
    <s v="L'amélioration de la sécurité dans les lieux d'origine reste l’une des causes principales de de retour."/>
    <s v="INTERSOS"/>
  </r>
  <r>
    <x v="8"/>
    <s v="CF33"/>
    <x v="17"/>
    <s v="CF333"/>
    <s v="Bouca Bobo"/>
    <s v="CF3331"/>
    <s v="Bouca centre"/>
    <s v="Mission Catholique"/>
    <s v="Site"/>
    <n v="294"/>
    <n v="72"/>
    <n v="316"/>
    <n v="72"/>
    <n v="316"/>
    <n v="72"/>
    <n v="316"/>
    <n v="72"/>
    <n v="311"/>
    <n v="70"/>
    <x v="11"/>
    <n v="-5"/>
    <x v="1"/>
    <s v="Avril 2025"/>
    <s v="Oui"/>
    <x v="2"/>
    <s v="CIAUD"/>
    <m/>
    <s v="CIAUD"/>
  </r>
  <r>
    <x v="8"/>
    <s v="CF33"/>
    <x v="15"/>
    <s v="CF331"/>
    <s v="Batangafo"/>
    <s v="CF3311"/>
    <s v="Batangafo"/>
    <s v="Mission Catolique"/>
    <s v="Site"/>
    <n v="336"/>
    <n v="89"/>
    <n v="335"/>
    <n v="89"/>
    <n v="335"/>
    <n v="89"/>
    <n v="335"/>
    <n v="89"/>
    <n v="335"/>
    <n v="89"/>
    <x v="1"/>
    <n v="0"/>
    <x v="0"/>
    <s v="Decembre 2024"/>
    <s v="Non"/>
    <x v="2"/>
    <s v="INTERSOS"/>
    <s v="Le retour volontaire se justifie par l’amélioration du climat sécuritaire dans les lieux d'origine, à cause de la présence des forces loyalistes qui assurent la protection physique des personnes et des biens, la reprise des AGRs pour aboutir à une vie meilleure."/>
    <s v="INTERSOS"/>
  </r>
  <r>
    <x v="8"/>
    <s v="CF33"/>
    <x v="16"/>
    <s v="CF332"/>
    <s v="Ouaki"/>
    <s v="CF3321"/>
    <s v="Ouaki"/>
    <s v="Ouaki"/>
    <s v="Site"/>
    <n v="24"/>
    <n v="4"/>
    <n v="24"/>
    <n v="4"/>
    <n v="24"/>
    <n v="4"/>
    <n v="24"/>
    <n v="4"/>
    <n v="24"/>
    <n v="4"/>
    <x v="1"/>
    <n v="0"/>
    <x v="0"/>
    <s v="Decembre 2024"/>
    <s v="Non"/>
    <x v="2"/>
    <s v="CIAUD"/>
    <m/>
    <s v="CIAUD"/>
  </r>
  <r>
    <x v="8"/>
    <s v="CF33"/>
    <x v="16"/>
    <s v="CF332"/>
    <s v="Sido"/>
    <s v="CF3322"/>
    <s v="Kabo"/>
    <s v="Site B"/>
    <s v="Site"/>
    <n v="1996"/>
    <n v="640"/>
    <n v="1993"/>
    <n v="640"/>
    <n v="1993"/>
    <n v="640"/>
    <n v="1993"/>
    <n v="640"/>
    <n v="1993"/>
    <n v="640"/>
    <x v="1"/>
    <n v="0"/>
    <x v="0"/>
    <s v="Janvier 2025"/>
    <s v="Non"/>
    <x v="2"/>
    <s v="INTERSOS"/>
    <s v="Données de suivi de mobilité pour le cycle 23 (Mobility Tracking Round 23) "/>
    <s v="DTM IOM"/>
  </r>
  <r>
    <x v="8"/>
    <s v="CF33"/>
    <x v="15"/>
    <s v="CF331"/>
    <s v="Batangafo"/>
    <s v="CF3311"/>
    <s v="Batangafo"/>
    <s v="Site Bouca"/>
    <s v="Site"/>
    <m/>
    <m/>
    <m/>
    <m/>
    <m/>
    <m/>
    <m/>
    <m/>
    <m/>
    <m/>
    <x v="0"/>
    <n v="0"/>
    <x v="0"/>
    <s v="Aout 2024"/>
    <s v="Non"/>
    <x v="0"/>
    <m/>
    <s v="Mise à jour"/>
    <s v="DTM 22"/>
  </r>
  <r>
    <x v="8"/>
    <s v="CF33"/>
    <x v="16"/>
    <s v="CF332"/>
    <s v="Sido"/>
    <s v="CF3322"/>
    <s v="Kabo"/>
    <s v="Site C  (cite de la paix)"/>
    <s v="Site"/>
    <n v="1649"/>
    <n v="450"/>
    <n v="1736"/>
    <n v="450"/>
    <n v="1736"/>
    <n v="450"/>
    <n v="1736"/>
    <n v="450"/>
    <n v="1736"/>
    <n v="450"/>
    <x v="1"/>
    <n v="0"/>
    <x v="0"/>
    <s v="Janvier 2025"/>
    <s v="Non"/>
    <x v="2"/>
    <s v="CIAUD"/>
    <s v="Données de suivi de mobilité pour le cycle 23 (Mobility Tracking Round 23) "/>
    <s v="DTM IOM"/>
  </r>
  <r>
    <x v="8"/>
    <s v="CF33"/>
    <x v="15"/>
    <s v="CF331"/>
    <s v="Batangafo"/>
    <s v="CF3311"/>
    <s v="Batangafo"/>
    <s v="Bouca/Bantagafo"/>
    <s v="Site"/>
    <n v="195"/>
    <n v="68"/>
    <n v="195"/>
    <n v="68"/>
    <n v="195"/>
    <n v="68"/>
    <n v="195"/>
    <n v="68"/>
    <n v="195"/>
    <n v="68"/>
    <x v="1"/>
    <n v="0"/>
    <x v="0"/>
    <s v="Decembre 2024"/>
    <s v="Non"/>
    <x v="2"/>
    <s v="CIAUD"/>
    <m/>
    <s v="INTERSOS"/>
  </r>
  <r>
    <x v="8"/>
    <s v="CF33"/>
    <x v="15"/>
    <s v="CF331"/>
    <s v="Batangafo"/>
    <s v="CF3311"/>
    <s v="Batangafo"/>
    <s v="Site MINUSCA"/>
    <s v="Site"/>
    <n v="788"/>
    <n v="209"/>
    <n v="737"/>
    <n v="209"/>
    <n v="737"/>
    <n v="209"/>
    <n v="737"/>
    <n v="209"/>
    <n v="737"/>
    <n v="209"/>
    <x v="1"/>
    <n v="0"/>
    <x v="0"/>
    <s v="Janvier 2025"/>
    <s v="Non"/>
    <x v="2"/>
    <s v="INTERSOS"/>
    <s v="Données de suivi de mobilité pour le cycle 23 (Mobility Tracking Round 23) "/>
    <s v="DTM IOM"/>
  </r>
  <r>
    <x v="8"/>
    <s v="CF33"/>
    <x v="15"/>
    <s v="CF331"/>
    <s v="Batangafo"/>
    <s v="CF3311"/>
    <s v="Batangafo"/>
    <s v="Zibo Bagga"/>
    <s v="Site"/>
    <n v="383"/>
    <n v="89"/>
    <n v="381"/>
    <n v="89"/>
    <n v="381"/>
    <n v="89"/>
    <n v="381"/>
    <n v="89"/>
    <n v="381"/>
    <n v="89"/>
    <x v="1"/>
    <n v="0"/>
    <x v="0"/>
    <s v="Janvier 2025"/>
    <s v="Non"/>
    <x v="2"/>
    <s v="INTERSOS"/>
    <s v="Données de suivi de mobilité pour le cycle 23 (Mobility Tracking Round 23) "/>
    <s v="DTM IOM"/>
  </r>
  <r>
    <x v="8"/>
    <s v="CF33"/>
    <x v="17"/>
    <s v="CF333"/>
    <s v="Bouca Bobo"/>
    <s v="CF3331"/>
    <s v="Zoui"/>
    <s v="Zoui"/>
    <s v="Site"/>
    <n v="59"/>
    <n v="11"/>
    <n v="59"/>
    <n v="11"/>
    <n v="59"/>
    <n v="11"/>
    <n v="59"/>
    <n v="11"/>
    <n v="59"/>
    <n v="11"/>
    <x v="1"/>
    <n v="0"/>
    <x v="0"/>
    <s v="Janvier 2025"/>
    <s v="Non"/>
    <x v="2"/>
    <s v="CIAUD"/>
    <m/>
    <s v="CIAUD"/>
  </r>
  <r>
    <x v="10"/>
    <s v="CF31"/>
    <x v="19"/>
    <s v="CF312"/>
    <s v="Bocaranga"/>
    <s v="CF3121"/>
    <s v="Bocaranga"/>
    <s v="PK3"/>
    <s v="Site"/>
    <n v="2665"/>
    <n v="508"/>
    <n v="696"/>
    <n v="119"/>
    <n v="696"/>
    <n v="119"/>
    <n v="696"/>
    <n v="119"/>
    <n v="696"/>
    <n v="119"/>
    <x v="1"/>
    <n v="0"/>
    <x v="0"/>
    <s v="Janvier 2025"/>
    <s v="Non"/>
    <x v="1"/>
    <s v="Sans gestionnaire"/>
    <s v="Données de suivi de mobilité pour le cycle 23 (Mobility Tracking Round 23) "/>
    <s v="DTM IOM"/>
  </r>
  <r>
    <x v="10"/>
    <s v="CF32"/>
    <x v="20"/>
    <s v="CF311"/>
    <s v="Bozoum"/>
    <s v="CF3111"/>
    <s v="Bozoum"/>
    <s v="EGLISE CATHOLIQUE"/>
    <s v="Lieu de regroupement"/>
    <m/>
    <m/>
    <m/>
    <m/>
    <m/>
    <m/>
    <n v="2342"/>
    <n v="372"/>
    <n v="2342"/>
    <n v="372"/>
    <x v="1"/>
    <n v="0"/>
    <x v="0"/>
    <s v="Mars 2025"/>
    <s v="Oui"/>
    <x v="1"/>
    <s v="Sans gestionnaire"/>
    <m/>
    <m/>
  </r>
  <r>
    <x v="10"/>
    <s v="CF33"/>
    <x v="20"/>
    <s v="CF311"/>
    <s v="Bozoum"/>
    <s v="CF3111"/>
    <s v="AXE BOUZOUME - BOCARANGA"/>
    <s v="MANGA (30KM)"/>
    <s v="Lieu de regroupement"/>
    <m/>
    <m/>
    <m/>
    <m/>
    <m/>
    <m/>
    <n v="498"/>
    <n v="170"/>
    <n v="498"/>
    <n v="170"/>
    <x v="1"/>
    <n v="0"/>
    <x v="0"/>
    <s v="Mars 2025"/>
    <s v="Oui"/>
    <x v="1"/>
    <s v="Sans gestionnaire"/>
    <m/>
    <m/>
  </r>
  <r>
    <x v="10"/>
    <s v="CF34"/>
    <x v="20"/>
    <s v="CF311"/>
    <s v="Bozoum"/>
    <s v="CF3111"/>
    <s v="BOZOUM"/>
    <s v="GBOGO"/>
    <s v="Lieu de regroupement"/>
    <m/>
    <m/>
    <m/>
    <m/>
    <m/>
    <m/>
    <n v="630"/>
    <n v="370"/>
    <n v="630"/>
    <n v="370"/>
    <x v="1"/>
    <n v="0"/>
    <x v="0"/>
    <s v="Mars 2025"/>
    <s v="Oui"/>
    <x v="1"/>
    <s v="Sans gestionnaire"/>
    <m/>
    <m/>
  </r>
  <r>
    <x v="10"/>
    <s v="CF34"/>
    <x v="20"/>
    <s v="CF311"/>
    <s v="Bozoum"/>
    <s v="CF3111"/>
    <s v="BOZOUM (5KM)"/>
    <s v="SANGBAI"/>
    <s v="Lieu de regroupement"/>
    <m/>
    <m/>
    <m/>
    <m/>
    <m/>
    <m/>
    <n v="1007"/>
    <n v="314"/>
    <n v="1007"/>
    <n v="314"/>
    <x v="1"/>
    <n v="0"/>
    <x v="0"/>
    <s v="Mars 2025"/>
    <s v="Oui"/>
    <x v="1"/>
    <s v="Sans gestionnaire"/>
    <m/>
    <m/>
  </r>
  <r>
    <x v="11"/>
    <s v="CF53"/>
    <x v="21"/>
    <s v="CF531"/>
    <s v="Ridina"/>
    <s v="CF5311"/>
    <s v="Birao"/>
    <s v="Site Aerodrome"/>
    <s v="Site"/>
    <n v="94"/>
    <n v="25"/>
    <n v="94"/>
    <n v="25"/>
    <n v="94"/>
    <n v="25"/>
    <n v="94"/>
    <n v="25"/>
    <n v="94"/>
    <n v="25"/>
    <x v="1"/>
    <n v="0"/>
    <x v="0"/>
    <s v="Janvier 2025"/>
    <s v="Non"/>
    <x v="1"/>
    <s v="Sans gestionnaire"/>
    <s v="Données de suivi de mobilité pour le cycle 23 (Mobility Tracking Round 23) "/>
    <s v="DTM IOM"/>
  </r>
  <r>
    <x v="11"/>
    <s v="CF53"/>
    <x v="21"/>
    <s v="CF531"/>
    <s v="Ridina"/>
    <s v="CF5311"/>
    <s v="Birao"/>
    <s v="Site Chinois"/>
    <s v="Site"/>
    <n v="139"/>
    <n v="28"/>
    <n v="139"/>
    <n v="28"/>
    <n v="139"/>
    <n v="28"/>
    <n v="139"/>
    <n v="28"/>
    <n v="139"/>
    <n v="28"/>
    <x v="1"/>
    <n v="0"/>
    <x v="0"/>
    <s v="Janvier 2025"/>
    <s v="Non"/>
    <x v="1"/>
    <s v="Sans gestionnaire"/>
    <s v="Données de suivi de mobilité pour le cycle 23 (Mobility Tracking Round 23) "/>
    <s v="DTM IOM"/>
  </r>
  <r>
    <x v="11"/>
    <s v="CF53"/>
    <x v="21"/>
    <s v="CF531"/>
    <s v="Ridina"/>
    <s v="CF5311"/>
    <s v="Birao"/>
    <s v="Site YATA"/>
    <s v="Site"/>
    <n v="960"/>
    <n v="276"/>
    <n v="817"/>
    <n v="191"/>
    <n v="817"/>
    <n v="191"/>
    <n v="817"/>
    <n v="191"/>
    <n v="817"/>
    <n v="191"/>
    <x v="1"/>
    <n v="0"/>
    <x v="0"/>
    <s v="Janvier 2025"/>
    <s v="Non"/>
    <x v="1"/>
    <s v="Sans gestionnaire"/>
    <s v="Données de suivi de mobilité pour le cycle 23 (Mobility Tracking Round 23) "/>
    <s v="DTM IO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772694-2C3D-4673-BAE5-6FBA14788001}" name="PivotTable2"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5" firstHeaderRow="1" firstDataRow="2" firstDataCol="1" rowPageCount="1" colPageCount="1"/>
  <pivotFields count="28">
    <pivotField showAll="0"/>
    <pivotField showAll="0"/>
    <pivotField axis="axisRow" showAll="0">
      <items count="24">
        <item x="2"/>
        <item x="14"/>
        <item x="7"/>
        <item x="11"/>
        <item x="9"/>
        <item x="1"/>
        <item x="15"/>
        <item m="1" x="22"/>
        <item x="21"/>
        <item x="19"/>
        <item x="18"/>
        <item x="17"/>
        <item x="20"/>
        <item x="3"/>
        <item x="4"/>
        <item x="12"/>
        <item x="16"/>
        <item x="10"/>
        <item x="13"/>
        <item x="0"/>
        <item x="5"/>
        <item x="8"/>
        <item x="6"/>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13">
        <item x="5"/>
        <item x="10"/>
        <item x="4"/>
        <item x="6"/>
        <item x="2"/>
        <item x="11"/>
        <item x="1"/>
        <item x="7"/>
        <item x="3"/>
        <item x="8"/>
        <item x="9"/>
        <item h="1" x="0"/>
        <item t="default"/>
      </items>
    </pivotField>
    <pivotField numFmtId="165" showAll="0"/>
    <pivotField showAll="0"/>
    <pivotField showAll="0"/>
    <pivotField showAll="0"/>
    <pivotField axis="axisCol" showAll="0">
      <items count="10">
        <item m="1" x="7"/>
        <item x="3"/>
        <item x="4"/>
        <item m="1" x="8"/>
        <item x="5"/>
        <item x="6"/>
        <item x="0"/>
        <item x="1"/>
        <item x="2"/>
        <item t="default"/>
      </items>
    </pivotField>
    <pivotField showAll="0"/>
    <pivotField showAll="0"/>
    <pivotField showAll="0"/>
  </pivotFields>
  <rowFields count="1">
    <field x="2"/>
  </rowFields>
  <rowItems count="21">
    <i>
      <x/>
    </i>
    <i>
      <x v="1"/>
    </i>
    <i>
      <x v="2"/>
    </i>
    <i>
      <x v="3"/>
    </i>
    <i>
      <x v="4"/>
    </i>
    <i>
      <x v="5"/>
    </i>
    <i>
      <x v="6"/>
    </i>
    <i>
      <x v="8"/>
    </i>
    <i>
      <x v="9"/>
    </i>
    <i>
      <x v="11"/>
    </i>
    <i>
      <x v="12"/>
    </i>
    <i>
      <x v="13"/>
    </i>
    <i>
      <x v="14"/>
    </i>
    <i>
      <x v="15"/>
    </i>
    <i>
      <x v="16"/>
    </i>
    <i>
      <x v="17"/>
    </i>
    <i>
      <x v="19"/>
    </i>
    <i>
      <x v="20"/>
    </i>
    <i>
      <x v="21"/>
    </i>
    <i>
      <x v="22"/>
    </i>
    <i t="grand">
      <x/>
    </i>
  </rowItems>
  <colFields count="1">
    <field x="24"/>
  </colFields>
  <colItems count="3">
    <i>
      <x v="7"/>
    </i>
    <i>
      <x v="8"/>
    </i>
    <i t="grand">
      <x/>
    </i>
  </colItems>
  <pageFields count="1">
    <pageField fld="19" hier="-1"/>
  </pageFields>
  <dataFields count="1">
    <dataField name="Count of Nom_Site" fld="7" subtotal="count" baseField="0" baseItem="0"/>
  </dataFields>
  <formats count="2">
    <format dxfId="82">
      <pivotArea collapsedLevelsAreSubtotals="1" fieldPosition="0">
        <references count="2">
          <reference field="2" count="21">
            <x v="0"/>
            <x v="1"/>
            <x v="2"/>
            <x v="3"/>
            <x v="4"/>
            <x v="5"/>
            <x v="6"/>
            <x v="7"/>
            <x v="8"/>
            <x v="9"/>
            <x v="11"/>
            <x v="12"/>
            <x v="13"/>
            <x v="14"/>
            <x v="15"/>
            <x v="16"/>
            <x v="17"/>
            <x v="19"/>
            <x v="20"/>
            <x v="21"/>
            <x v="22"/>
          </reference>
          <reference field="24" count="2" selected="0">
            <x v="7"/>
            <x v="8"/>
          </reference>
        </references>
      </pivotArea>
    </format>
    <format dxfId="81">
      <pivotArea dataOnly="0" labelOnly="1" fieldPosition="0">
        <references count="1">
          <reference field="24" count="2">
            <x v="7"/>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50B0E21-4E92-44E7-92E3-422644BF6E87}"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C24" firstHeaderRow="0" firstDataRow="1" firstDataCol="1"/>
  <pivotFields count="10">
    <pivotField showAll="0"/>
    <pivotField showAll="0"/>
    <pivotField axis="axisRow" showAll="0">
      <items count="21">
        <item x="17"/>
        <item x="3"/>
        <item x="1"/>
        <item x="16"/>
        <item x="19"/>
        <item x="18"/>
        <item x="5"/>
        <item x="8"/>
        <item x="15"/>
        <item x="9"/>
        <item x="7"/>
        <item x="14"/>
        <item x="0"/>
        <item x="13"/>
        <item x="4"/>
        <item x="10"/>
        <item x="12"/>
        <item x="6"/>
        <item x="11"/>
        <item x="2"/>
        <item t="default"/>
      </items>
    </pivotField>
    <pivotField showAll="0"/>
    <pivotField showAll="0"/>
    <pivotField showAll="0"/>
    <pivotField showAll="0"/>
    <pivotField showAll="0"/>
    <pivotField dataField="1" showAll="0"/>
    <pivotField dataField="1" showAll="0"/>
  </pivotFields>
  <rowFields count="1">
    <field x="2"/>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2">
    <i>
      <x/>
    </i>
    <i i="1">
      <x v="1"/>
    </i>
  </colItems>
  <dataFields count="2">
    <dataField name="Sum of Nbr PDI Familles Accueil" fld="8" baseField="0" baseItem="0"/>
    <dataField name="Sum of Nbr Total PDI"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65B2151-FE12-4AD9-9FB6-06AC677F5EE4}"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4" firstHeaderRow="0" firstDataRow="1" firstDataCol="1"/>
  <pivotFields count="10">
    <pivotField showAll="0"/>
    <pivotField showAll="0"/>
    <pivotField axis="axisRow" showAll="0">
      <items count="21">
        <item x="17"/>
        <item x="3"/>
        <item x="1"/>
        <item x="16"/>
        <item x="19"/>
        <item x="18"/>
        <item x="5"/>
        <item x="8"/>
        <item x="15"/>
        <item x="9"/>
        <item x="7"/>
        <item x="14"/>
        <item x="0"/>
        <item x="13"/>
        <item x="4"/>
        <item x="10"/>
        <item x="12"/>
        <item x="6"/>
        <item x="11"/>
        <item x="2"/>
        <item t="default"/>
      </items>
    </pivotField>
    <pivotField showAll="0"/>
    <pivotField showAll="0"/>
    <pivotField showAll="0"/>
    <pivotField showAll="0"/>
    <pivotField dataField="1" showAll="0"/>
    <pivotField dataField="1" showAll="0"/>
    <pivotField dataField="1" showAll="0"/>
  </pivotFields>
  <rowFields count="1">
    <field x="2"/>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3">
    <i>
      <x/>
    </i>
    <i i="1">
      <x v="1"/>
    </i>
    <i i="2">
      <x v="2"/>
    </i>
  </colItems>
  <dataFields count="3">
    <dataField name="Sum of Nbr PDI Sites_x000a_LR*" fld="7" baseField="0" baseItem="0"/>
    <dataField name="Sum of Nbr PDI Familles Accueil" fld="8" baseField="0" baseItem="0"/>
    <dataField name="Sum of Nbr Total PDI"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783406F-FFCC-45FF-8423-5DD274AB9EA1}" name="PivotTable14" cacheId="0"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P4:S20" firstHeaderRow="1" firstDataRow="2" firstDataCol="1"/>
  <pivotFields count="5">
    <pivotField axis="axisRow" compact="0" outline="0" showAll="0" defaultSubtotal="0">
      <items count="14">
        <item x="3"/>
        <item x="5"/>
        <item x="13"/>
        <item x="11"/>
        <item x="6"/>
        <item x="12"/>
        <item x="9"/>
        <item x="7"/>
        <item x="0"/>
        <item x="8"/>
        <item x="10"/>
        <item x="4"/>
        <item x="1"/>
        <item x="2"/>
      </items>
      <extLst>
        <ext xmlns:x14="http://schemas.microsoft.com/office/spreadsheetml/2009/9/main" uri="{2946ED86-A175-432a-8AC1-64E0C546D7DE}">
          <x14:pivotField fillDownLabels="1"/>
        </ext>
      </extLst>
    </pivotField>
    <pivotField compact="0" outline="0" showAll="0" defaultSubtotal="0">
      <items count="32">
        <item x="18"/>
        <item x="15"/>
        <item x="7"/>
        <item x="17"/>
        <item x="23"/>
        <item x="13"/>
        <item x="14"/>
        <item x="4"/>
        <item x="10"/>
        <item x="2"/>
        <item x="11"/>
        <item x="24"/>
        <item x="5"/>
        <item x="25"/>
        <item x="26"/>
        <item x="0"/>
        <item x="22"/>
        <item x="1"/>
        <item x="31"/>
        <item x="21"/>
        <item x="20"/>
        <item x="3"/>
        <item x="12"/>
        <item x="19"/>
        <item x="29"/>
        <item x="9"/>
        <item x="30"/>
        <item x="6"/>
        <item x="27"/>
        <item x="28"/>
        <item x="16"/>
        <item x="8"/>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
    <field x="0"/>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Sum of Sites" fld="2" baseField="0" baseItem="0"/>
    <dataField name="Sum of FA" fld="3" baseField="0" baseItem="0"/>
    <dataField name="Sum of Total"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C3C5682-7302-4774-907E-FECA519344CF}" name="PivotTable13" cacheId="3"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3:C9" firstHeaderRow="2" firstDataRow="2" firstDataCol="2" rowPageCount="1" colPageCount="1"/>
  <pivotFields count="28">
    <pivotField axis="axisRow" compact="0" outline="0" showAll="0" defaultSubtotal="0">
      <items count="12">
        <item x="0"/>
        <item x="1"/>
        <item x="2"/>
        <item x="3"/>
        <item x="4"/>
        <item x="5"/>
        <item x="6"/>
        <item x="7"/>
        <item x="9"/>
        <item x="10"/>
        <item x="8"/>
        <item x="1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3">
        <item x="2"/>
        <item x="14"/>
        <item x="7"/>
        <item x="11"/>
        <item x="1"/>
        <item x="15"/>
        <item x="21"/>
        <item x="19"/>
        <item x="18"/>
        <item x="17"/>
        <item x="3"/>
        <item x="4"/>
        <item x="12"/>
        <item x="16"/>
        <item x="10"/>
        <item x="13"/>
        <item x="0"/>
        <item x="5"/>
        <item x="8"/>
        <item x="6"/>
        <item x="9"/>
        <item m="1" x="22"/>
        <item x="2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numFmtId="165" outline="0" showAll="0" defaultSubtotal="0">
      <extLst>
        <ext xmlns:x14="http://schemas.microsoft.com/office/spreadsheetml/2009/9/main" uri="{2946ED86-A175-432a-8AC1-64E0C546D7DE}">
          <x14:pivotField fillDownLabels="1"/>
        </ext>
      </extLst>
    </pivotField>
    <pivotField axis="axisPage" compact="0" outline="0" multipleItemSelectionAllowed="1" showAll="0" defaultSubtotal="0">
      <items count="2">
        <item h="1"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2">
    <field x="0"/>
    <field x="2"/>
  </rowFields>
  <rowItems count="5">
    <i>
      <x v="3"/>
      <x v="10"/>
    </i>
    <i>
      <x v="10"/>
      <x v="5"/>
    </i>
    <i r="1">
      <x v="9"/>
    </i>
    <i r="1">
      <x v="13"/>
    </i>
    <i t="grand">
      <x/>
    </i>
  </rowItems>
  <colItems count="1">
    <i/>
  </colItems>
  <pageFields count="1">
    <pageField fld="21" hier="-1"/>
  </pageFields>
  <dataFields count="1">
    <dataField name="Sum of Différence" fld="2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160D00C-EA9F-49CC-A2D0-10CAD73164D5}" name="PivotTable15"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6:AM23" firstHeaderRow="1" firstDataRow="1" firstDataCol="1"/>
  <pivotFields count="5">
    <pivotField axis="axisRow" showAll="0">
      <items count="17">
        <item x="3"/>
        <item x="9"/>
        <item x="5"/>
        <item x="10"/>
        <item x="0"/>
        <item x="8"/>
        <item x="12"/>
        <item x="14"/>
        <item x="4"/>
        <item x="11"/>
        <item x="1"/>
        <item x="15"/>
        <item x="6"/>
        <item x="7"/>
        <item x="2"/>
        <item x="13"/>
        <item t="default"/>
      </items>
    </pivotField>
    <pivotField showAll="0"/>
    <pivotField showAll="0"/>
    <pivotField showAll="0"/>
    <pivotField showAll="0"/>
  </pivotFields>
  <rowFields count="1">
    <field x="0"/>
  </rowFields>
  <rowItems count="17">
    <i>
      <x/>
    </i>
    <i>
      <x v="1"/>
    </i>
    <i>
      <x v="2"/>
    </i>
    <i>
      <x v="3"/>
    </i>
    <i>
      <x v="4"/>
    </i>
    <i>
      <x v="5"/>
    </i>
    <i>
      <x v="6"/>
    </i>
    <i>
      <x v="7"/>
    </i>
    <i>
      <x v="8"/>
    </i>
    <i>
      <x v="9"/>
    </i>
    <i>
      <x v="10"/>
    </i>
    <i>
      <x v="11"/>
    </i>
    <i>
      <x v="12"/>
    </i>
    <i>
      <x v="13"/>
    </i>
    <i>
      <x v="14"/>
    </i>
    <i>
      <x v="1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dmin1" xr10:uid="{2CBA489F-FF2A-4C89-AD43-402E7E2FCC1E}" sourceName="Admin1">
  <extLst>
    <x:ext xmlns:x15="http://schemas.microsoft.com/office/spreadsheetml/2010/11/main" uri="{2F2917AC-EB37-4324-AD4E-5DD8C200BD13}">
      <x15:tableSlicerCache tableId="5"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dmin2" xr10:uid="{8D553E7A-A1F2-4816-AF8A-04CF2F16C5E4}" sourceName="Admin2">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dmin1" xr10:uid="{B374CA02-A928-4B33-BE98-A5BEAAB623D5}" cache="Slicer_Admin1" caption="Admin1" rowHeight="230716"/>
  <slicer name="Admin2" xr10:uid="{F5F0106A-88DB-4A3B-82A1-34CBF30F9E9C}" cache="Slicer_Admin2" caption="Admin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703127-1B3A-465F-B9A5-A90A3C2CE7D2}" name="Table1" displayName="Table1" ref="A4:AB111" totalsRowShown="0" headerRowDxfId="80" dataDxfId="78" headerRowBorderDxfId="79" tableBorderDxfId="77" totalsRowBorderDxfId="76">
  <autoFilter ref="A4:AB111" xr:uid="{42703127-1B3A-465F-B9A5-A90A3C2CE7D2}">
    <filterColumn colId="19">
      <filters>
        <filter val="0%"/>
        <filter val="2%"/>
        <filter val="-2%"/>
        <filter val="-26%"/>
        <filter val="-27%"/>
        <filter val="3%"/>
        <filter val="35%"/>
        <filter val="5%"/>
        <filter val="-8%"/>
        <filter val="-9%"/>
      </filters>
    </filterColumn>
  </autoFilter>
  <tableColumns count="28">
    <tableColumn id="48" xr3:uid="{F434DBDB-1B5B-446C-9B0C-C93C498EE55D}" name="Admin1" dataDxfId="75"/>
    <tableColumn id="47" xr3:uid="{5A82EFE4-9BE3-44ED-AD2C-96D0AD8F941B}" name="Admin1_Pcode" dataDxfId="74"/>
    <tableColumn id="50" xr3:uid="{96E85CEC-EBFA-4521-8AF7-8DA0A81CAA6A}" name="Admin2" dataDxfId="73"/>
    <tableColumn id="51" xr3:uid="{FC7C0462-E08D-4311-81AB-A6728E89145A}" name="Admin2_Pcode" dataDxfId="72"/>
    <tableColumn id="49" xr3:uid="{F35721D9-D1FC-43CB-BD23-06B0BDCEC705}" name="Admin3" dataDxfId="71"/>
    <tableColumn id="52" xr3:uid="{B12AE9BE-220A-405C-8BD0-FDA2ECA22816}" name="Admin3_Pcode" dataDxfId="70"/>
    <tableColumn id="7" xr3:uid="{E1E0E1C8-1EBA-4D05-A74F-F02200A24BE3}" name="Localité" dataDxfId="69"/>
    <tableColumn id="8" xr3:uid="{180387F3-04F7-478D-8B8C-17438D12CB3C}" name="Nom_Site" dataDxfId="68"/>
    <tableColumn id="22" xr3:uid="{05E3BD55-1EA9-4D6C-BCFB-CF3BBA3B9FE0}" name="Type" dataDxfId="67"/>
    <tableColumn id="43" xr3:uid="{1260BD87-C101-4887-A14E-BAB92DD02991}" name="31.12.2024 Individus" dataDxfId="66" dataCellStyle="Comma"/>
    <tableColumn id="40" xr3:uid="{FD8F55F6-CAE6-47CF-B8C4-03780A95B558}" name="31.12.2024 Ménages" dataDxfId="65" dataCellStyle="Comma"/>
    <tableColumn id="46" xr3:uid="{6C58EBDF-FA32-4F7A-B0E5-C905A643089C}" name="31.01.2025 Individus" dataDxfId="64" dataCellStyle="Comma"/>
    <tableColumn id="45" xr3:uid="{D6DFBBFA-340A-46C6-AB10-FF546499AC80}" name="31.01.2025 Ménages" dataDxfId="63" dataCellStyle="Comma"/>
    <tableColumn id="2" xr3:uid="{4B1F01AF-ABD3-4ACF-ABDC-3BF6099F1107}" name="28.02.2025 Individus" dataDxfId="62" dataCellStyle="Comma"/>
    <tableColumn id="1" xr3:uid="{1B53A6E4-E62F-4AD9-A9C4-76D2E48819AF}" name="28.02.2025 Ménages" dataDxfId="61" dataCellStyle="Comma"/>
    <tableColumn id="4" xr3:uid="{81A3504A-8AD9-4AF0-BA76-DCC508621535}" name="31.03.2025 Individus" dataDxfId="60" dataCellStyle="Comma"/>
    <tableColumn id="3" xr3:uid="{04FC81FD-D1CE-4140-93CD-D1B4617DC584}" name="31.03.2025 Ménages" dataDxfId="59" dataCellStyle="Comma"/>
    <tableColumn id="6" xr3:uid="{808A02F1-9635-48C0-A8B9-740DF8B10EA1}" name="30.04.2025 Individus" dataDxfId="58" dataCellStyle="Comma"/>
    <tableColumn id="5" xr3:uid="{4EAAEA42-C5AE-45BE-91D6-F262022E2CCD}" name="30.04.2025 Ménages" dataDxfId="57" dataCellStyle="Comma"/>
    <tableColumn id="13" xr3:uid="{3D225819-F76F-4179-A439-DBD9E472C2AE}" name="Evolution" dataDxfId="56">
      <calculatedColumnFormula>(Table1[[#This Row],[30.04.2025 Individus]]-Table1[[#This Row],[31.03.2025 Individus]])/Table1[[#This Row],[31.03.2025 Individus]]</calculatedColumnFormula>
    </tableColumn>
    <tableColumn id="14" xr3:uid="{BEDA8FA6-68E2-48AA-8385-EB89A6885613}" name="Différence" dataDxfId="55">
      <calculatedColumnFormula>Table1[[#This Row],[30.04.2025 Individus]]-Table1[[#This Row],[31.03.2025 Individus]]</calculatedColumnFormula>
    </tableColumn>
    <tableColumn id="15" xr3:uid="{1F4BC556-2F62-41E6-885C-41F1B09C1C88}" name="Nouveaux PDI/Retournés" dataDxfId="54">
      <calculatedColumnFormula>IF(Table1[[#This Row],[Différence]]&lt;0,"Retournés","Déplacés")</calculatedColumnFormula>
    </tableColumn>
    <tableColumn id="16" xr3:uid="{5463741E-9A37-442B-BA08-752224E03494}" name="Date de la dernière mise à jour" dataDxfId="53"/>
    <tableColumn id="17" xr3:uid="{BED5230B-750D-44F1-96A1-34B4186A5E1E}" name="Update" dataDxfId="52"/>
    <tableColumn id="31" xr3:uid="{A364D7E1-ED17-4F96-B41C-30EBC4CE540D}" name="Presence d'Acteur" dataDxfId="51"/>
    <tableColumn id="44" xr3:uid="{19063226-70A3-4694-857E-942021BB60FD}" name="Site Géré" dataDxfId="50"/>
    <tableColumn id="18" xr3:uid="{0D116244-89E6-41AA-A9E3-F30CDAFB612E}" name="Commentaires" dataDxfId="49"/>
    <tableColumn id="19" xr3:uid="{C4F157A8-6265-476B-9F67-88F91E40FB5B}" name="Sources de Données"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964FF7-9BED-4AA5-A3C0-CC25F64606E3}" name="Table4" displayName="Table4" ref="A5:X185" totalsRowShown="0" headerRowDxfId="47" dataDxfId="45" headerRowBorderDxfId="46" tableBorderDxfId="44" totalsRowBorderDxfId="43">
  <autoFilter ref="A5:X185" xr:uid="{8E964FF7-9BED-4AA5-A3C0-CC25F64606E3}"/>
  <tableColumns count="24">
    <tableColumn id="1" xr3:uid="{2C4AA5F5-28E3-4DF8-9CA5-8407590FD77C}" name="#" dataDxfId="42"/>
    <tableColumn id="2" xr3:uid="{3E3EF29D-7D62-49D0-8CF5-4A633D72A5C4}" name="Admin1_Pcode" dataDxfId="41"/>
    <tableColumn id="3" xr3:uid="{18CC48DE-1D94-4002-91FD-A156F301F30F}" name="Admin1" dataDxfId="40"/>
    <tableColumn id="4" xr3:uid="{E05D1D4C-3CA8-4F9E-896F-FEECD12367B4}" name="Admin2_Pcode" dataDxfId="39"/>
    <tableColumn id="5" xr3:uid="{F6A64A89-7962-4AF5-AB79-5D2D94725FCE}" name="Admin2" dataDxfId="38"/>
    <tableColumn id="6" xr3:uid="{A5A7187B-CC22-441E-A388-E6569FE15631}" name="Admin3_Pcode" dataDxfId="37"/>
    <tableColumn id="8" xr3:uid="{25D807BA-88B9-41E5-9513-4E68C5B0904C}" name="Admin3" dataDxfId="36"/>
    <tableColumn id="9" xr3:uid="{8C403B20-E6E0-49E2-8D74-E4CD672DA821}" name="31.12.2024 Individus" dataDxfId="35"/>
    <tableColumn id="10" xr3:uid="{BACD9731-2546-4C36-BC89-1CA8F704BE64}" name="31.12.2024 Ménages" dataDxfId="34"/>
    <tableColumn id="11" xr3:uid="{78E65BAF-6C2F-414D-8A95-640BD880CE96}" name="31.01.2025 Individus" dataDxfId="33"/>
    <tableColumn id="12" xr3:uid="{47B3A18B-1D33-4F5E-998E-BFEEC331A44B}" name="31.01.2025 Ménages" dataDxfId="32"/>
    <tableColumn id="20" xr3:uid="{8CC8BB4A-5D5E-42A3-83A1-6987298D72B6}" name="28.02.2025 Individus" dataDxfId="31"/>
    <tableColumn id="7" xr3:uid="{9C461976-5193-4987-BD8D-1B9B7EB50184}" name="28.02.2025 Ménages" dataDxfId="30"/>
    <tableColumn id="22" xr3:uid="{03E5633F-1C50-4ACA-904D-C485225ADDFE}" name="31.03.2025 Individus" dataDxfId="29"/>
    <tableColumn id="21" xr3:uid="{BD99B95A-1565-4CF9-9A15-276C1CC97971}" name="31.03.2025 Ménages" dataDxfId="28"/>
    <tableColumn id="24" xr3:uid="{AA339F01-AD79-4499-8DFC-371FFC27941C}" name="30.04.2025 Individus" dataDxfId="27"/>
    <tableColumn id="23" xr3:uid="{BC5703F1-56DF-4E1A-B784-AF0053488838}" name="30.04.2025 Ménages" dataDxfId="26"/>
    <tableColumn id="13" xr3:uid="{C3856C87-3DF7-4E06-9C58-B425605F6590}" name="Evolution" dataDxfId="25" dataCellStyle="Percent">
      <calculatedColumnFormula>IFERROR((Table4[[#This Row],[30.04.2025 Individus]]-Table4[[#This Row],[31.03.2025 Individus]])/Table4[[#This Row],[31.03.2025 Individus]],0)</calculatedColumnFormula>
    </tableColumn>
    <tableColumn id="14" xr3:uid="{9BD64710-B73D-4C97-9819-D1C177488A68}" name="Différence" dataDxfId="24">
      <calculatedColumnFormula>Table4[[#This Row],[30.04.2025 Individus]]-Table4[[#This Row],[31.03.2025 Individus]]</calculatedColumnFormula>
    </tableColumn>
    <tableColumn id="15" xr3:uid="{F6505E8D-3DF6-43A0-B35E-B34728E2B949}" name="Nouveaux PDI/Retournés" dataDxfId="23">
      <calculatedColumnFormula>IF(Table4[[#This Row],[Différence]]&lt;0,"Retournés","Déplacés")</calculatedColumnFormula>
    </tableColumn>
    <tableColumn id="16" xr3:uid="{779A8E5E-1513-44D0-9A74-47BD0A46FD92}" name="Date de la dernière mise à jour" dataDxfId="22"/>
    <tableColumn id="17" xr3:uid="{FFA38491-A89D-43E3-8B36-337782EBE497}" name="Update" dataDxfId="21">
      <calculatedColumnFormula>IF(Table4[[#This Row],[Evolution]]=0,"Non","Oui")</calculatedColumnFormula>
    </tableColumn>
    <tableColumn id="18" xr3:uid="{375683B2-11FE-49F0-97FB-8D47CCBA2469}" name="Commentaires" dataDxfId="20"/>
    <tableColumn id="19" xr3:uid="{98453F16-16C3-4F48-B9FB-66456DD74CEA}" name="Sources de Données" dataDxfId="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62FCF8-9196-4C11-BDC9-102F1B3B7D34}" name="Table5" displayName="Table5" ref="A6:J186" totalsRowShown="0" headerRowDxfId="18" dataDxfId="16" headerRowBorderDxfId="17" tableBorderDxfId="15" totalsRowBorderDxfId="14">
  <autoFilter ref="A6:J186" xr:uid="{7C62FCF8-9196-4C11-BDC9-102F1B3B7D34}"/>
  <tableColumns count="10">
    <tableColumn id="1" xr3:uid="{54EB048D-F2CE-485A-831B-528BC23B180B}" name="#" dataDxfId="13"/>
    <tableColumn id="2" xr3:uid="{32B9DA02-03E6-4202-BA7A-A61EE446D79F}" name="Admin1_Pcode" dataDxfId="12"/>
    <tableColumn id="3" xr3:uid="{D92A3D67-4FB6-4D76-9EBD-54271A111B5D}" name="Admin1" dataDxfId="11"/>
    <tableColumn id="4" xr3:uid="{507EA834-878A-4E42-8681-2AAD156D79CD}" name="Admin2_Pcode" dataDxfId="10"/>
    <tableColumn id="5" xr3:uid="{B21EEE0E-256D-4AA2-B6C5-12F8DB04BBD2}" name="Admin2" dataDxfId="9"/>
    <tableColumn id="6" xr3:uid="{DE166BD9-72C0-4724-A598-AB28ABC472FF}" name="Admin3_Pcode" dataDxfId="8"/>
    <tableColumn id="7" xr3:uid="{3663AFCB-688D-4859-9270-8B31199C6D40}" name="Admin3" dataDxfId="7"/>
    <tableColumn id="8" xr3:uid="{00FA39F1-B9EB-4BB2-800D-220C5911D849}" name="Nbr PDI Sites_x000a_LR*" dataDxfId="6">
      <calculatedColumnFormula>SUMIF(Table1[Admin3_Pcode],Table5[[#This Row],[Admin3_Pcode]],Table1[30.04.2025 Individus])</calculatedColumnFormula>
    </tableColumn>
    <tableColumn id="9" xr3:uid="{DC3B8C8C-E1E0-4707-9315-4B553444A176}" name="Nbr PDI Familles Accueil" dataDxfId="5">
      <calculatedColumnFormula>SUMIF(Table4[Admin3_Pcode],Table5[[#This Row],[Admin3_Pcode]],Table4[30.04.2025 Individus])</calculatedColumnFormula>
    </tableColumn>
    <tableColumn id="10" xr3:uid="{BE591399-E757-44D3-8EEF-7485ECE42608}" name="Nbr Total PDI" dataDxfId="4">
      <calculatedColumnFormula>SUM(Table5[[#This Row],[Nbr PDI Sites
LR*]:[Nbr PDI Familles Accueil]])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6.xml"/><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BF1C-5302-4C84-9945-9BCADD8283D3}">
  <dimension ref="C3:D19"/>
  <sheetViews>
    <sheetView showGridLines="0" workbookViewId="0">
      <selection activeCell="F8" sqref="F8"/>
    </sheetView>
  </sheetViews>
  <sheetFormatPr defaultRowHeight="14" x14ac:dyDescent="0.3"/>
  <cols>
    <col min="3" max="3" width="31.5" bestFit="1" customWidth="1"/>
    <col min="4" max="4" width="88.58203125" customWidth="1"/>
  </cols>
  <sheetData>
    <row r="3" spans="3:4" s="84" customFormat="1" ht="26.15" customHeight="1" x14ac:dyDescent="0.3">
      <c r="C3" s="106" t="s">
        <v>808</v>
      </c>
      <c r="D3" s="107"/>
    </row>
    <row r="4" spans="3:4" ht="9.65" customHeight="1" x14ac:dyDescent="0.3">
      <c r="C4" s="80"/>
      <c r="D4" s="81"/>
    </row>
    <row r="5" spans="3:4" s="9" customFormat="1" ht="34" customHeight="1" x14ac:dyDescent="0.3">
      <c r="C5" s="96" t="s">
        <v>809</v>
      </c>
      <c r="D5" s="97" t="s">
        <v>810</v>
      </c>
    </row>
    <row r="6" spans="3:4" s="9" customFormat="1" ht="31" customHeight="1" x14ac:dyDescent="0.3">
      <c r="C6" s="82" t="s">
        <v>811</v>
      </c>
      <c r="D6" s="83" t="s">
        <v>812</v>
      </c>
    </row>
    <row r="7" spans="3:4" s="9" customFormat="1" ht="56" x14ac:dyDescent="0.3">
      <c r="C7" s="82" t="s">
        <v>813</v>
      </c>
      <c r="D7" s="83" t="s">
        <v>814</v>
      </c>
    </row>
    <row r="8" spans="3:4" s="9" customFormat="1" ht="70" x14ac:dyDescent="0.3">
      <c r="C8" s="96" t="s">
        <v>815</v>
      </c>
      <c r="D8" s="97" t="s">
        <v>816</v>
      </c>
    </row>
    <row r="9" spans="3:4" s="9" customFormat="1" ht="70" x14ac:dyDescent="0.3">
      <c r="C9" s="82" t="s">
        <v>817</v>
      </c>
      <c r="D9" s="83" t="s">
        <v>818</v>
      </c>
    </row>
    <row r="10" spans="3:4" s="9" customFormat="1" ht="70" x14ac:dyDescent="0.3">
      <c r="C10" s="96" t="s">
        <v>819</v>
      </c>
      <c r="D10" s="97" t="s">
        <v>820</v>
      </c>
    </row>
    <row r="11" spans="3:4" s="9" customFormat="1" ht="28" x14ac:dyDescent="0.3">
      <c r="C11" s="85" t="s">
        <v>219</v>
      </c>
      <c r="D11" s="86" t="s">
        <v>822</v>
      </c>
    </row>
    <row r="12" spans="3:4" s="9" customFormat="1" ht="28" x14ac:dyDescent="0.3">
      <c r="C12" s="96" t="s">
        <v>220</v>
      </c>
      <c r="D12" s="97" t="s">
        <v>821</v>
      </c>
    </row>
    <row r="13" spans="3:4" s="9" customFormat="1" x14ac:dyDescent="0.3">
      <c r="C13" s="85" t="s">
        <v>796</v>
      </c>
      <c r="D13" s="89" t="s">
        <v>799</v>
      </c>
    </row>
    <row r="14" spans="3:4" s="9" customFormat="1" x14ac:dyDescent="0.3">
      <c r="C14" s="96" t="s">
        <v>797</v>
      </c>
      <c r="D14" s="98" t="s">
        <v>800</v>
      </c>
    </row>
    <row r="15" spans="3:4" s="9" customFormat="1" x14ac:dyDescent="0.3">
      <c r="C15" s="85" t="s">
        <v>798</v>
      </c>
      <c r="D15" s="89" t="s">
        <v>801</v>
      </c>
    </row>
    <row r="16" spans="3:4" s="9" customFormat="1" x14ac:dyDescent="0.3">
      <c r="C16" s="96" t="s">
        <v>721</v>
      </c>
      <c r="D16" s="98" t="s">
        <v>802</v>
      </c>
    </row>
    <row r="17" spans="3:4" s="9" customFormat="1" x14ac:dyDescent="0.3">
      <c r="C17" s="85" t="s">
        <v>722</v>
      </c>
      <c r="D17" s="89" t="s">
        <v>803</v>
      </c>
    </row>
    <row r="18" spans="3:4" s="9" customFormat="1" x14ac:dyDescent="0.3">
      <c r="C18" s="99" t="s">
        <v>723</v>
      </c>
      <c r="D18" s="100" t="s">
        <v>804</v>
      </c>
    </row>
    <row r="19" spans="3:4" s="9" customFormat="1" ht="70" x14ac:dyDescent="0.3">
      <c r="C19" s="87" t="s">
        <v>824</v>
      </c>
      <c r="D19" s="88" t="s">
        <v>823</v>
      </c>
    </row>
  </sheetData>
  <mergeCells count="1">
    <mergeCell ref="C3:D3"/>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D2B8-5B68-4947-9037-D0D7BA1D72A3}">
  <dimension ref="A1:D25"/>
  <sheetViews>
    <sheetView workbookViewId="0">
      <selection activeCell="K30" sqref="K30"/>
    </sheetView>
  </sheetViews>
  <sheetFormatPr defaultRowHeight="14" x14ac:dyDescent="0.3"/>
  <cols>
    <col min="1" max="1" width="17.75" bestFit="1" customWidth="1"/>
    <col min="2" max="2" width="16.08203125" bestFit="1" customWidth="1"/>
    <col min="3" max="3" width="4" bestFit="1" customWidth="1"/>
    <col min="4" max="4" width="11.33203125" bestFit="1" customWidth="1"/>
    <col min="5" max="5" width="4.83203125" bestFit="1" customWidth="1"/>
    <col min="6" max="6" width="6.83203125" bestFit="1" customWidth="1"/>
    <col min="7" max="8" width="5.83203125" bestFit="1" customWidth="1"/>
    <col min="9" max="9" width="11.33203125" bestFit="1" customWidth="1"/>
  </cols>
  <sheetData>
    <row r="1" spans="1:4" x14ac:dyDescent="0.3">
      <c r="A1" s="53" t="s">
        <v>195</v>
      </c>
      <c r="B1" t="s">
        <v>837</v>
      </c>
    </row>
    <row r="3" spans="1:4" x14ac:dyDescent="0.3">
      <c r="A3" s="53" t="s">
        <v>839</v>
      </c>
      <c r="B3" s="53" t="s">
        <v>838</v>
      </c>
    </row>
    <row r="4" spans="1:4" x14ac:dyDescent="0.3">
      <c r="A4" s="53" t="s">
        <v>739</v>
      </c>
      <c r="B4" s="105" t="s">
        <v>243</v>
      </c>
      <c r="C4" s="105" t="s">
        <v>244</v>
      </c>
      <c r="D4" t="s">
        <v>740</v>
      </c>
    </row>
    <row r="5" spans="1:4" x14ac:dyDescent="0.3">
      <c r="A5" s="50" t="s">
        <v>20</v>
      </c>
      <c r="B5" s="104">
        <v>5</v>
      </c>
      <c r="C5" s="104"/>
      <c r="D5" s="54">
        <v>5</v>
      </c>
    </row>
    <row r="6" spans="1:4" x14ac:dyDescent="0.3">
      <c r="A6" s="50" t="s">
        <v>105</v>
      </c>
      <c r="B6" s="104"/>
      <c r="C6" s="104">
        <v>1</v>
      </c>
      <c r="D6" s="54">
        <v>1</v>
      </c>
    </row>
    <row r="7" spans="1:4" x14ac:dyDescent="0.3">
      <c r="A7" s="50" t="s">
        <v>72</v>
      </c>
      <c r="B7" s="104"/>
      <c r="C7" s="104">
        <v>4</v>
      </c>
      <c r="D7" s="54">
        <v>4</v>
      </c>
    </row>
    <row r="8" spans="1:4" x14ac:dyDescent="0.3">
      <c r="A8" s="50" t="s">
        <v>108</v>
      </c>
      <c r="B8" s="104">
        <v>4</v>
      </c>
      <c r="C8" s="104">
        <v>3</v>
      </c>
      <c r="D8" s="54">
        <v>7</v>
      </c>
    </row>
    <row r="9" spans="1:4" x14ac:dyDescent="0.3">
      <c r="A9" s="50" t="s">
        <v>279</v>
      </c>
      <c r="B9" s="104"/>
      <c r="C9" s="104">
        <v>3</v>
      </c>
      <c r="D9" s="54">
        <v>3</v>
      </c>
    </row>
    <row r="10" spans="1:4" x14ac:dyDescent="0.3">
      <c r="A10" s="50" t="s">
        <v>599</v>
      </c>
      <c r="B10" s="104">
        <v>3</v>
      </c>
      <c r="C10" s="104"/>
      <c r="D10" s="54">
        <v>3</v>
      </c>
    </row>
    <row r="11" spans="1:4" x14ac:dyDescent="0.3">
      <c r="A11" s="50" t="s">
        <v>136</v>
      </c>
      <c r="B11" s="104"/>
      <c r="C11" s="104">
        <v>9</v>
      </c>
      <c r="D11" s="54">
        <v>9</v>
      </c>
    </row>
    <row r="12" spans="1:4" x14ac:dyDescent="0.3">
      <c r="A12" s="50" t="s">
        <v>190</v>
      </c>
      <c r="B12" s="104">
        <v>3</v>
      </c>
      <c r="C12" s="104"/>
      <c r="D12" s="54">
        <v>3</v>
      </c>
    </row>
    <row r="13" spans="1:4" x14ac:dyDescent="0.3">
      <c r="A13" s="50" t="s">
        <v>186</v>
      </c>
      <c r="B13" s="104">
        <v>1</v>
      </c>
      <c r="C13" s="104"/>
      <c r="D13" s="54">
        <v>1</v>
      </c>
    </row>
    <row r="14" spans="1:4" x14ac:dyDescent="0.3">
      <c r="A14" s="50" t="s">
        <v>156</v>
      </c>
      <c r="B14" s="104">
        <v>1</v>
      </c>
      <c r="C14" s="104">
        <v>7</v>
      </c>
      <c r="D14" s="54">
        <v>8</v>
      </c>
    </row>
    <row r="15" spans="1:4" x14ac:dyDescent="0.3">
      <c r="A15" s="50" t="s">
        <v>253</v>
      </c>
      <c r="B15" s="104">
        <v>4</v>
      </c>
      <c r="C15" s="104"/>
      <c r="D15" s="54">
        <v>4</v>
      </c>
    </row>
    <row r="16" spans="1:4" x14ac:dyDescent="0.3">
      <c r="A16" s="50" t="s">
        <v>32</v>
      </c>
      <c r="B16" s="104">
        <v>1</v>
      </c>
      <c r="C16" s="104">
        <v>1</v>
      </c>
      <c r="D16" s="54">
        <v>2</v>
      </c>
    </row>
    <row r="17" spans="1:4" x14ac:dyDescent="0.3">
      <c r="A17" s="50" t="s">
        <v>54</v>
      </c>
      <c r="B17" s="104">
        <v>1</v>
      </c>
      <c r="C17" s="104"/>
      <c r="D17" s="54">
        <v>1</v>
      </c>
    </row>
    <row r="18" spans="1:4" x14ac:dyDescent="0.3">
      <c r="A18" s="50" t="s">
        <v>129</v>
      </c>
      <c r="B18" s="104">
        <v>2</v>
      </c>
      <c r="C18" s="104"/>
      <c r="D18" s="54">
        <v>2</v>
      </c>
    </row>
    <row r="19" spans="1:4" x14ac:dyDescent="0.3">
      <c r="A19" s="50" t="s">
        <v>140</v>
      </c>
      <c r="B19" s="104">
        <v>1</v>
      </c>
      <c r="C19" s="104">
        <v>6</v>
      </c>
      <c r="D19" s="54">
        <v>7</v>
      </c>
    </row>
    <row r="20" spans="1:4" x14ac:dyDescent="0.3">
      <c r="A20" s="50" t="s">
        <v>77</v>
      </c>
      <c r="B20" s="104">
        <v>2</v>
      </c>
      <c r="C20" s="104">
        <v>7</v>
      </c>
      <c r="D20" s="54">
        <v>9</v>
      </c>
    </row>
    <row r="21" spans="1:4" x14ac:dyDescent="0.3">
      <c r="A21" s="50" t="s">
        <v>3</v>
      </c>
      <c r="B21" s="104">
        <v>1</v>
      </c>
      <c r="C21" s="104"/>
      <c r="D21" s="54">
        <v>1</v>
      </c>
    </row>
    <row r="22" spans="1:4" x14ac:dyDescent="0.3">
      <c r="A22" s="50" t="s">
        <v>44</v>
      </c>
      <c r="B22" s="104"/>
      <c r="C22" s="104">
        <v>6</v>
      </c>
      <c r="D22" s="54">
        <v>6</v>
      </c>
    </row>
    <row r="23" spans="1:4" x14ac:dyDescent="0.3">
      <c r="A23" s="50" t="s">
        <v>60</v>
      </c>
      <c r="B23" s="104">
        <v>4</v>
      </c>
      <c r="C23" s="104"/>
      <c r="D23" s="54">
        <v>4</v>
      </c>
    </row>
    <row r="24" spans="1:4" x14ac:dyDescent="0.3">
      <c r="A24" s="50" t="s">
        <v>39</v>
      </c>
      <c r="B24" s="104"/>
      <c r="C24" s="104">
        <v>2</v>
      </c>
      <c r="D24" s="54">
        <v>2</v>
      </c>
    </row>
    <row r="25" spans="1:4" x14ac:dyDescent="0.3">
      <c r="A25" s="50" t="s">
        <v>740</v>
      </c>
      <c r="B25" s="54">
        <v>33</v>
      </c>
      <c r="C25" s="54">
        <v>49</v>
      </c>
      <c r="D25" s="54">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5874-5BC6-49D1-A373-5DDDB0F17C93}">
  <dimension ref="A1:AB123"/>
  <sheetViews>
    <sheetView showGridLines="0" tabSelected="1" zoomScaleNormal="100" workbookViewId="0">
      <selection activeCell="X31" sqref="X31"/>
    </sheetView>
  </sheetViews>
  <sheetFormatPr defaultRowHeight="14" x14ac:dyDescent="0.3"/>
  <cols>
    <col min="1" max="1" width="17" customWidth="1"/>
    <col min="2" max="2" width="6.83203125" hidden="1" customWidth="1"/>
    <col min="3" max="3" width="16.08203125" customWidth="1"/>
    <col min="4" max="4" width="18" hidden="1" customWidth="1"/>
    <col min="5" max="5" width="13.75" customWidth="1"/>
    <col min="6" max="6" width="13.75" hidden="1" customWidth="1"/>
    <col min="7" max="8" width="18.08203125" customWidth="1"/>
    <col min="9" max="9" width="17.08203125" customWidth="1"/>
    <col min="10" max="12" width="10.25" hidden="1" customWidth="1"/>
    <col min="13" max="13" width="13.58203125" hidden="1" customWidth="1"/>
    <col min="14" max="15" width="13.58203125" style="9" hidden="1" customWidth="1"/>
    <col min="16" max="16" width="10.83203125" style="9" customWidth="1"/>
    <col min="17" max="19" width="10.08203125" style="9" customWidth="1"/>
    <col min="20" max="20" width="10.08203125" customWidth="1"/>
    <col min="21" max="21" width="9.08203125" style="63" customWidth="1"/>
    <col min="22" max="22" width="13.25" customWidth="1"/>
    <col min="23" max="23" width="15.58203125" customWidth="1"/>
    <col min="24" max="24" width="7.08203125" customWidth="1"/>
    <col min="25" max="25" width="8.83203125" customWidth="1"/>
    <col min="26" max="26" width="7.83203125" customWidth="1"/>
    <col min="27" max="27" width="21.08203125" customWidth="1"/>
    <col min="28" max="28" width="14.75" customWidth="1"/>
  </cols>
  <sheetData>
    <row r="1" spans="1:28" ht="32" x14ac:dyDescent="0.3">
      <c r="A1" s="14" t="s">
        <v>827</v>
      </c>
      <c r="B1" s="14"/>
      <c r="C1" s="14"/>
      <c r="D1" s="14"/>
      <c r="E1" s="14"/>
      <c r="F1" s="14"/>
      <c r="G1" s="14"/>
      <c r="H1" s="14"/>
      <c r="I1" s="17"/>
      <c r="J1" s="14"/>
      <c r="K1" s="14"/>
      <c r="L1" s="14"/>
      <c r="M1" s="14"/>
      <c r="N1" s="14"/>
      <c r="O1" s="14"/>
      <c r="P1" s="14"/>
      <c r="Q1" s="14"/>
      <c r="R1" s="14"/>
      <c r="S1" s="14"/>
      <c r="T1" s="14"/>
      <c r="U1" s="1"/>
      <c r="V1" s="14"/>
      <c r="W1" s="14"/>
      <c r="X1" s="14"/>
      <c r="Y1" s="14"/>
      <c r="Z1" s="14"/>
      <c r="AA1" s="14"/>
      <c r="AB1" s="14"/>
    </row>
    <row r="2" spans="1:28" ht="32" x14ac:dyDescent="0.3">
      <c r="A2" s="1" t="s">
        <v>240</v>
      </c>
      <c r="J2" s="8"/>
      <c r="K2" s="8"/>
      <c r="L2" s="8"/>
      <c r="M2" s="8"/>
      <c r="N2" s="67"/>
      <c r="O2" s="67"/>
      <c r="P2" s="67"/>
      <c r="Q2" s="67"/>
      <c r="R2" s="67"/>
      <c r="S2" s="67"/>
    </row>
    <row r="4" spans="1:28" s="12" customFormat="1" ht="31" customHeight="1" x14ac:dyDescent="0.3">
      <c r="A4" s="30" t="s">
        <v>718</v>
      </c>
      <c r="B4" s="31" t="s">
        <v>721</v>
      </c>
      <c r="C4" s="31" t="s">
        <v>719</v>
      </c>
      <c r="D4" s="31" t="s">
        <v>722</v>
      </c>
      <c r="E4" s="31" t="s">
        <v>720</v>
      </c>
      <c r="F4" s="31" t="s">
        <v>723</v>
      </c>
      <c r="G4" s="31" t="s">
        <v>0</v>
      </c>
      <c r="H4" s="31" t="s">
        <v>204</v>
      </c>
      <c r="I4" s="31" t="s">
        <v>216</v>
      </c>
      <c r="J4" s="31" t="s">
        <v>585</v>
      </c>
      <c r="K4" s="31" t="s">
        <v>586</v>
      </c>
      <c r="L4" s="31" t="s">
        <v>589</v>
      </c>
      <c r="M4" s="31" t="s">
        <v>590</v>
      </c>
      <c r="N4" s="31" t="s">
        <v>752</v>
      </c>
      <c r="O4" s="31" t="s">
        <v>753</v>
      </c>
      <c r="P4" s="31" t="s">
        <v>759</v>
      </c>
      <c r="Q4" s="31" t="s">
        <v>760</v>
      </c>
      <c r="R4" s="31" t="s">
        <v>825</v>
      </c>
      <c r="S4" s="31" t="s">
        <v>826</v>
      </c>
      <c r="T4" s="31" t="s">
        <v>195</v>
      </c>
      <c r="U4" s="61" t="s">
        <v>233</v>
      </c>
      <c r="V4" s="31" t="s">
        <v>241</v>
      </c>
      <c r="W4" s="31" t="s">
        <v>232</v>
      </c>
      <c r="X4" s="31" t="s">
        <v>242</v>
      </c>
      <c r="Y4" s="31" t="s">
        <v>735</v>
      </c>
      <c r="Z4" s="31" t="s">
        <v>736</v>
      </c>
      <c r="AA4" s="31" t="s">
        <v>196</v>
      </c>
      <c r="AB4" s="32" t="s">
        <v>231</v>
      </c>
    </row>
    <row r="5" spans="1:28" hidden="1" x14ac:dyDescent="0.3">
      <c r="A5" s="21" t="s">
        <v>1</v>
      </c>
      <c r="B5" s="22" t="s">
        <v>2</v>
      </c>
      <c r="C5" s="22" t="s">
        <v>3</v>
      </c>
      <c r="D5" s="22" t="s">
        <v>4</v>
      </c>
      <c r="E5" s="22" t="s">
        <v>5</v>
      </c>
      <c r="F5" s="22" t="s">
        <v>6</v>
      </c>
      <c r="G5" s="22" t="s">
        <v>7</v>
      </c>
      <c r="H5" s="22" t="s">
        <v>8</v>
      </c>
      <c r="I5" s="22" t="s">
        <v>219</v>
      </c>
      <c r="J5" s="33"/>
      <c r="K5" s="33"/>
      <c r="L5" s="33"/>
      <c r="M5" s="33"/>
      <c r="N5" s="41"/>
      <c r="O5" s="41"/>
      <c r="P5" s="41"/>
      <c r="Q5" s="41"/>
      <c r="R5" s="41"/>
      <c r="S5" s="41"/>
      <c r="T5" s="34" t="e">
        <f>(Table1[[#This Row],[30.04.2025 Individus]]-Table1[[#This Row],[31.03.2025 Individus]])/Table1[[#This Row],[31.03.2025 Individus]]</f>
        <v>#DIV/0!</v>
      </c>
      <c r="U5" s="62">
        <f>Table1[[#This Row],[30.04.2025 Individus]]-Table1[[#This Row],[31.03.2025 Individus]]</f>
        <v>0</v>
      </c>
      <c r="V5" s="22" t="str">
        <f>IF(Table1[[#This Row],[Différence]]&lt;0,"Retournés","Déplacés")</f>
        <v>Déplacés</v>
      </c>
      <c r="W5" s="22" t="s">
        <v>234</v>
      </c>
      <c r="X5" s="22" t="s">
        <v>243</v>
      </c>
      <c r="Y5" s="22"/>
      <c r="Z5" s="22"/>
      <c r="AA5" s="22" t="s">
        <v>237</v>
      </c>
      <c r="AB5" s="23" t="s">
        <v>197</v>
      </c>
    </row>
    <row r="6" spans="1:28" hidden="1" x14ac:dyDescent="0.3">
      <c r="A6" s="21" t="s">
        <v>1</v>
      </c>
      <c r="B6" s="22" t="s">
        <v>2</v>
      </c>
      <c r="C6" s="22" t="s">
        <v>3</v>
      </c>
      <c r="D6" s="22" t="s">
        <v>4</v>
      </c>
      <c r="E6" s="22" t="s">
        <v>5</v>
      </c>
      <c r="F6" s="22" t="s">
        <v>6</v>
      </c>
      <c r="G6" s="22" t="s">
        <v>9</v>
      </c>
      <c r="H6" s="22" t="s">
        <v>10</v>
      </c>
      <c r="I6" s="22" t="s">
        <v>219</v>
      </c>
      <c r="J6" s="35"/>
      <c r="K6" s="33"/>
      <c r="L6" s="33"/>
      <c r="M6" s="33"/>
      <c r="N6" s="41"/>
      <c r="O6" s="41"/>
      <c r="P6" s="41"/>
      <c r="Q6" s="41"/>
      <c r="R6" s="41"/>
      <c r="S6" s="41"/>
      <c r="T6" s="34" t="e">
        <f>(Table1[[#This Row],[30.04.2025 Individus]]-Table1[[#This Row],[31.03.2025 Individus]])/Table1[[#This Row],[31.03.2025 Individus]]</f>
        <v>#DIV/0!</v>
      </c>
      <c r="U6" s="62">
        <f>Table1[[#This Row],[30.04.2025 Individus]]-Table1[[#This Row],[31.03.2025 Individus]]</f>
        <v>0</v>
      </c>
      <c r="V6" s="22" t="str">
        <f>IF(Table1[[#This Row],[Différence]]&lt;0,"Retournés","Déplacés")</f>
        <v>Déplacés</v>
      </c>
      <c r="W6" s="22" t="s">
        <v>234</v>
      </c>
      <c r="X6" s="22" t="s">
        <v>243</v>
      </c>
      <c r="Y6" s="22"/>
      <c r="Z6" s="22"/>
      <c r="AA6" s="22" t="s">
        <v>237</v>
      </c>
      <c r="AB6" s="23" t="s">
        <v>197</v>
      </c>
    </row>
    <row r="7" spans="1:28" x14ac:dyDescent="0.3">
      <c r="A7" s="21" t="s">
        <v>1</v>
      </c>
      <c r="B7" s="22" t="s">
        <v>2</v>
      </c>
      <c r="C7" s="22" t="s">
        <v>3</v>
      </c>
      <c r="D7" s="22" t="s">
        <v>4</v>
      </c>
      <c r="E7" s="22" t="s">
        <v>5</v>
      </c>
      <c r="F7" s="22" t="s">
        <v>6</v>
      </c>
      <c r="G7" s="22" t="s">
        <v>11</v>
      </c>
      <c r="H7" s="22" t="s">
        <v>12</v>
      </c>
      <c r="I7" s="22" t="s">
        <v>219</v>
      </c>
      <c r="J7" s="33">
        <v>232</v>
      </c>
      <c r="K7" s="33">
        <v>51</v>
      </c>
      <c r="L7" s="33">
        <v>165</v>
      </c>
      <c r="M7" s="33">
        <v>50</v>
      </c>
      <c r="N7" s="41">
        <v>165</v>
      </c>
      <c r="O7" s="41">
        <v>50</v>
      </c>
      <c r="P7" s="41">
        <v>165</v>
      </c>
      <c r="Q7" s="41">
        <v>50</v>
      </c>
      <c r="R7" s="41">
        <v>165</v>
      </c>
      <c r="S7" s="41">
        <v>50</v>
      </c>
      <c r="T7" s="34">
        <f>(Table1[[#This Row],[30.04.2025 Individus]]-Table1[[#This Row],[31.03.2025 Individus]])/Table1[[#This Row],[31.03.2025 Individus]]</f>
        <v>0</v>
      </c>
      <c r="U7" s="62">
        <f>Table1[[#This Row],[30.04.2025 Individus]]-Table1[[#This Row],[31.03.2025 Individus]]</f>
        <v>0</v>
      </c>
      <c r="V7" s="22" t="str">
        <f>IF(Table1[[#This Row],[Différence]]&lt;0,"Retournés","Déplacés")</f>
        <v>Déplacés</v>
      </c>
      <c r="W7" s="22" t="s">
        <v>591</v>
      </c>
      <c r="X7" s="22" t="s">
        <v>243</v>
      </c>
      <c r="Y7" s="22" t="s">
        <v>243</v>
      </c>
      <c r="Z7" s="22" t="s">
        <v>836</v>
      </c>
      <c r="AA7" s="22" t="s">
        <v>596</v>
      </c>
      <c r="AB7" s="23" t="s">
        <v>197</v>
      </c>
    </row>
    <row r="8" spans="1:28" s="13" customFormat="1" ht="50.5" hidden="1" x14ac:dyDescent="0.3">
      <c r="A8" s="36" t="s">
        <v>13</v>
      </c>
      <c r="B8" s="37" t="s">
        <v>14</v>
      </c>
      <c r="C8" s="37" t="s">
        <v>599</v>
      </c>
      <c r="D8" s="37" t="s">
        <v>600</v>
      </c>
      <c r="E8" s="37" t="s">
        <v>16</v>
      </c>
      <c r="F8" s="37" t="s">
        <v>615</v>
      </c>
      <c r="G8" s="37" t="s">
        <v>17</v>
      </c>
      <c r="H8" s="37" t="s">
        <v>582</v>
      </c>
      <c r="I8" s="37" t="s">
        <v>220</v>
      </c>
      <c r="J8" s="38">
        <v>438</v>
      </c>
      <c r="K8" s="38">
        <v>73</v>
      </c>
      <c r="L8" s="38">
        <v>636</v>
      </c>
      <c r="M8" s="38">
        <v>106</v>
      </c>
      <c r="N8" s="41">
        <v>636</v>
      </c>
      <c r="O8" s="41">
        <v>106</v>
      </c>
      <c r="P8" s="41">
        <v>0</v>
      </c>
      <c r="Q8" s="41">
        <v>0</v>
      </c>
      <c r="R8" s="41">
        <v>0</v>
      </c>
      <c r="S8" s="41">
        <v>0</v>
      </c>
      <c r="T8" s="39" t="e">
        <f>(Table1[[#This Row],[30.04.2025 Individus]]-Table1[[#This Row],[31.03.2025 Individus]])/Table1[[#This Row],[31.03.2025 Individus]]</f>
        <v>#DIV/0!</v>
      </c>
      <c r="U8" s="62">
        <f>Table1[[#This Row],[30.04.2025 Individus]]-Table1[[#This Row],[31.03.2025 Individus]]</f>
        <v>0</v>
      </c>
      <c r="V8" s="37" t="str">
        <f>IF(Table1[[#This Row],[Différence]]&lt;0,"Retournés","Déplacés")</f>
        <v>Déplacés</v>
      </c>
      <c r="W8" s="37" t="s">
        <v>761</v>
      </c>
      <c r="X8" s="22" t="s">
        <v>244</v>
      </c>
      <c r="Y8" s="37"/>
      <c r="Z8" s="22"/>
      <c r="AA8" s="57" t="s">
        <v>779</v>
      </c>
      <c r="AB8" s="76" t="s">
        <v>780</v>
      </c>
    </row>
    <row r="9" spans="1:28" s="13" customFormat="1" x14ac:dyDescent="0.3">
      <c r="A9" s="36" t="s">
        <v>13</v>
      </c>
      <c r="B9" s="37" t="s">
        <v>14</v>
      </c>
      <c r="C9" s="37" t="s">
        <v>599</v>
      </c>
      <c r="D9" s="37" t="s">
        <v>600</v>
      </c>
      <c r="E9" s="37" t="s">
        <v>307</v>
      </c>
      <c r="F9" s="37" t="s">
        <v>616</v>
      </c>
      <c r="G9" s="75" t="s">
        <v>583</v>
      </c>
      <c r="H9" s="37" t="s">
        <v>584</v>
      </c>
      <c r="I9" s="37" t="s">
        <v>220</v>
      </c>
      <c r="J9" s="38">
        <v>1284</v>
      </c>
      <c r="K9" s="38">
        <v>214</v>
      </c>
      <c r="L9" s="38">
        <v>828</v>
      </c>
      <c r="M9" s="38">
        <v>138</v>
      </c>
      <c r="N9" s="41">
        <v>828</v>
      </c>
      <c r="O9" s="41">
        <v>138</v>
      </c>
      <c r="P9" s="41">
        <v>828</v>
      </c>
      <c r="Q9" s="41">
        <v>138</v>
      </c>
      <c r="R9" s="41">
        <v>828</v>
      </c>
      <c r="S9" s="41">
        <v>138</v>
      </c>
      <c r="T9" s="39">
        <f>(Table1[[#This Row],[30.04.2025 Individus]]-Table1[[#This Row],[31.03.2025 Individus]])/Table1[[#This Row],[31.03.2025 Individus]]</f>
        <v>0</v>
      </c>
      <c r="U9" s="62">
        <f>Table1[[#This Row],[30.04.2025 Individus]]-Table1[[#This Row],[31.03.2025 Individus]]</f>
        <v>0</v>
      </c>
      <c r="V9" s="37" t="str">
        <f>IF(Table1[[#This Row],[Différence]]&lt;0,"Retournés","Déplacés")</f>
        <v>Déplacés</v>
      </c>
      <c r="W9" s="37" t="s">
        <v>761</v>
      </c>
      <c r="X9" s="22" t="s">
        <v>243</v>
      </c>
      <c r="Y9" s="37" t="s">
        <v>243</v>
      </c>
      <c r="Z9" s="22" t="s">
        <v>836</v>
      </c>
      <c r="AA9" s="37" t="s">
        <v>779</v>
      </c>
      <c r="AB9" s="76" t="s">
        <v>780</v>
      </c>
    </row>
    <row r="10" spans="1:28" x14ac:dyDescent="0.3">
      <c r="A10" s="21" t="s">
        <v>18</v>
      </c>
      <c r="B10" s="22" t="s">
        <v>19</v>
      </c>
      <c r="C10" s="22" t="s">
        <v>20</v>
      </c>
      <c r="D10" s="22" t="s">
        <v>21</v>
      </c>
      <c r="E10" s="22" t="s">
        <v>20</v>
      </c>
      <c r="F10" s="22" t="s">
        <v>22</v>
      </c>
      <c r="G10" s="22" t="s">
        <v>20</v>
      </c>
      <c r="H10" s="22" t="s">
        <v>29</v>
      </c>
      <c r="I10" s="22" t="s">
        <v>219</v>
      </c>
      <c r="J10" s="40">
        <f>292*5</f>
        <v>1460</v>
      </c>
      <c r="K10" s="33">
        <v>292</v>
      </c>
      <c r="L10" s="40">
        <v>1375</v>
      </c>
      <c r="M10" s="33">
        <v>275</v>
      </c>
      <c r="N10" s="68">
        <v>1375</v>
      </c>
      <c r="O10" s="41">
        <v>275</v>
      </c>
      <c r="P10" s="68">
        <v>1375</v>
      </c>
      <c r="Q10" s="41">
        <v>275</v>
      </c>
      <c r="R10" s="68">
        <v>1375</v>
      </c>
      <c r="S10" s="41">
        <v>275</v>
      </c>
      <c r="T10" s="34">
        <f>(Table1[[#This Row],[30.04.2025 Individus]]-Table1[[#This Row],[31.03.2025 Individus]])/Table1[[#This Row],[31.03.2025 Individus]]</f>
        <v>0</v>
      </c>
      <c r="U10" s="62">
        <f>Table1[[#This Row],[30.04.2025 Individus]]-Table1[[#This Row],[31.03.2025 Individus]]</f>
        <v>0</v>
      </c>
      <c r="V10" s="22" t="str">
        <f>IF(Table1[[#This Row],[Différence]]&lt;0,"Retournés","Déplacés")</f>
        <v>Déplacés</v>
      </c>
      <c r="W10" s="22" t="s">
        <v>591</v>
      </c>
      <c r="X10" s="22" t="s">
        <v>243</v>
      </c>
      <c r="Y10" s="22" t="s">
        <v>243</v>
      </c>
      <c r="Z10" s="22" t="s">
        <v>836</v>
      </c>
      <c r="AA10" s="22" t="s">
        <v>596</v>
      </c>
      <c r="AB10" s="23" t="s">
        <v>197</v>
      </c>
    </row>
    <row r="11" spans="1:28" x14ac:dyDescent="0.3">
      <c r="A11" s="21" t="s">
        <v>18</v>
      </c>
      <c r="B11" s="22" t="s">
        <v>19</v>
      </c>
      <c r="C11" s="22" t="s">
        <v>20</v>
      </c>
      <c r="D11" s="22" t="s">
        <v>21</v>
      </c>
      <c r="E11" s="22" t="s">
        <v>20</v>
      </c>
      <c r="F11" s="22" t="s">
        <v>22</v>
      </c>
      <c r="G11" s="22" t="s">
        <v>20</v>
      </c>
      <c r="H11" s="22" t="s">
        <v>25</v>
      </c>
      <c r="I11" s="22" t="s">
        <v>219</v>
      </c>
      <c r="J11" s="33">
        <v>657</v>
      </c>
      <c r="K11" s="33">
        <v>165</v>
      </c>
      <c r="L11" s="33">
        <v>850</v>
      </c>
      <c r="M11" s="33">
        <v>170</v>
      </c>
      <c r="N11" s="41">
        <v>850</v>
      </c>
      <c r="O11" s="41">
        <v>170</v>
      </c>
      <c r="P11" s="41">
        <v>850</v>
      </c>
      <c r="Q11" s="41">
        <v>170</v>
      </c>
      <c r="R11" s="41">
        <v>850</v>
      </c>
      <c r="S11" s="41">
        <v>170</v>
      </c>
      <c r="T11" s="34">
        <f>(Table1[[#This Row],[30.04.2025 Individus]]-Table1[[#This Row],[31.03.2025 Individus]])/Table1[[#This Row],[31.03.2025 Individus]]</f>
        <v>0</v>
      </c>
      <c r="U11" s="62">
        <f>Table1[[#This Row],[30.04.2025 Individus]]-Table1[[#This Row],[31.03.2025 Individus]]</f>
        <v>0</v>
      </c>
      <c r="V11" s="22" t="str">
        <f>IF(Table1[[#This Row],[Différence]]&lt;0,"Retournés","Déplacés")</f>
        <v>Déplacés</v>
      </c>
      <c r="W11" s="22" t="s">
        <v>591</v>
      </c>
      <c r="X11" s="22" t="s">
        <v>243</v>
      </c>
      <c r="Y11" s="22" t="s">
        <v>243</v>
      </c>
      <c r="Z11" s="22" t="s">
        <v>836</v>
      </c>
      <c r="AA11" s="22" t="s">
        <v>596</v>
      </c>
      <c r="AB11" s="23" t="s">
        <v>197</v>
      </c>
    </row>
    <row r="12" spans="1:28" x14ac:dyDescent="0.3">
      <c r="A12" s="21" t="s">
        <v>18</v>
      </c>
      <c r="B12" s="22" t="s">
        <v>19</v>
      </c>
      <c r="C12" s="22" t="s">
        <v>20</v>
      </c>
      <c r="D12" s="22" t="s">
        <v>21</v>
      </c>
      <c r="E12" s="22" t="s">
        <v>20</v>
      </c>
      <c r="F12" s="22" t="s">
        <v>22</v>
      </c>
      <c r="G12" s="22" t="s">
        <v>26</v>
      </c>
      <c r="H12" s="22" t="s">
        <v>27</v>
      </c>
      <c r="I12" s="22" t="s">
        <v>219</v>
      </c>
      <c r="J12" s="33">
        <v>5790</v>
      </c>
      <c r="K12" s="33">
        <v>1305</v>
      </c>
      <c r="L12" s="33">
        <v>5790</v>
      </c>
      <c r="M12" s="33">
        <v>1305</v>
      </c>
      <c r="N12" s="41">
        <v>5790</v>
      </c>
      <c r="O12" s="41">
        <v>1305</v>
      </c>
      <c r="P12" s="41">
        <v>5790</v>
      </c>
      <c r="Q12" s="41">
        <v>1305</v>
      </c>
      <c r="R12" s="41">
        <v>5790</v>
      </c>
      <c r="S12" s="41">
        <v>1305</v>
      </c>
      <c r="T12" s="34">
        <f>(Table1[[#This Row],[30.04.2025 Individus]]-Table1[[#This Row],[31.03.2025 Individus]])/Table1[[#This Row],[31.03.2025 Individus]]</f>
        <v>0</v>
      </c>
      <c r="U12" s="62">
        <f>Table1[[#This Row],[30.04.2025 Individus]]-Table1[[#This Row],[31.03.2025 Individus]]</f>
        <v>0</v>
      </c>
      <c r="V12" s="22" t="str">
        <f>IF(Table1[[#This Row],[Différence]]&lt;0,"Retournés","Déplacés")</f>
        <v>Déplacés</v>
      </c>
      <c r="W12" s="22" t="s">
        <v>591</v>
      </c>
      <c r="X12" s="22" t="s">
        <v>243</v>
      </c>
      <c r="Y12" s="22" t="s">
        <v>243</v>
      </c>
      <c r="Z12" s="22" t="s">
        <v>836</v>
      </c>
      <c r="AA12" s="22" t="s">
        <v>596</v>
      </c>
      <c r="AB12" s="23" t="s">
        <v>197</v>
      </c>
    </row>
    <row r="13" spans="1:28" x14ac:dyDescent="0.3">
      <c r="A13" s="21" t="s">
        <v>18</v>
      </c>
      <c r="B13" s="22" t="s">
        <v>19</v>
      </c>
      <c r="C13" s="22" t="s">
        <v>20</v>
      </c>
      <c r="D13" s="22" t="s">
        <v>21</v>
      </c>
      <c r="E13" s="22" t="s">
        <v>20</v>
      </c>
      <c r="F13" s="22" t="s">
        <v>22</v>
      </c>
      <c r="G13" s="22" t="s">
        <v>20</v>
      </c>
      <c r="H13" s="22" t="s">
        <v>28</v>
      </c>
      <c r="I13" s="22" t="s">
        <v>219</v>
      </c>
      <c r="J13" s="33">
        <v>661</v>
      </c>
      <c r="K13" s="33">
        <v>165</v>
      </c>
      <c r="L13" s="33">
        <v>661</v>
      </c>
      <c r="M13" s="33">
        <v>165</v>
      </c>
      <c r="N13" s="41">
        <v>661</v>
      </c>
      <c r="O13" s="41">
        <v>165</v>
      </c>
      <c r="P13" s="41">
        <v>661</v>
      </c>
      <c r="Q13" s="41">
        <v>165</v>
      </c>
      <c r="R13" s="41">
        <v>661</v>
      </c>
      <c r="S13" s="41">
        <v>165</v>
      </c>
      <c r="T13" s="34">
        <f>(Table1[[#This Row],[30.04.2025 Individus]]-Table1[[#This Row],[31.03.2025 Individus]])/Table1[[#This Row],[31.03.2025 Individus]]</f>
        <v>0</v>
      </c>
      <c r="U13" s="62">
        <f>Table1[[#This Row],[30.04.2025 Individus]]-Table1[[#This Row],[31.03.2025 Individus]]</f>
        <v>0</v>
      </c>
      <c r="V13" s="22" t="str">
        <f>IF(Table1[[#This Row],[Différence]]&lt;0,"Retournés","Déplacés")</f>
        <v>Déplacés</v>
      </c>
      <c r="W13" s="22" t="s">
        <v>591</v>
      </c>
      <c r="X13" s="22" t="s">
        <v>243</v>
      </c>
      <c r="Y13" s="22" t="s">
        <v>243</v>
      </c>
      <c r="Z13" s="22" t="s">
        <v>836</v>
      </c>
      <c r="AA13" s="22" t="s">
        <v>596</v>
      </c>
      <c r="AB13" s="23" t="s">
        <v>197</v>
      </c>
    </row>
    <row r="14" spans="1:28" x14ac:dyDescent="0.3">
      <c r="A14" s="21" t="s">
        <v>18</v>
      </c>
      <c r="B14" s="22" t="s">
        <v>19</v>
      </c>
      <c r="C14" s="22" t="s">
        <v>20</v>
      </c>
      <c r="D14" s="22" t="s">
        <v>21</v>
      </c>
      <c r="E14" s="22" t="s">
        <v>20</v>
      </c>
      <c r="F14" s="22" t="s">
        <v>22</v>
      </c>
      <c r="G14" s="22" t="s">
        <v>23</v>
      </c>
      <c r="H14" s="22" t="s">
        <v>24</v>
      </c>
      <c r="I14" s="22" t="s">
        <v>219</v>
      </c>
      <c r="J14" s="33">
        <v>1896</v>
      </c>
      <c r="K14" s="33">
        <v>395</v>
      </c>
      <c r="L14" s="33">
        <v>1896</v>
      </c>
      <c r="M14" s="33">
        <v>395</v>
      </c>
      <c r="N14" s="41">
        <v>1896</v>
      </c>
      <c r="O14" s="41">
        <v>395</v>
      </c>
      <c r="P14" s="41">
        <v>1896</v>
      </c>
      <c r="Q14" s="41">
        <v>395</v>
      </c>
      <c r="R14" s="41">
        <v>1896</v>
      </c>
      <c r="S14" s="41">
        <v>395</v>
      </c>
      <c r="T14" s="34">
        <f>(Table1[[#This Row],[30.04.2025 Individus]]-Table1[[#This Row],[31.03.2025 Individus]])/Table1[[#This Row],[31.03.2025 Individus]]</f>
        <v>0</v>
      </c>
      <c r="U14" s="62">
        <f>Table1[[#This Row],[30.04.2025 Individus]]-Table1[[#This Row],[31.03.2025 Individus]]</f>
        <v>0</v>
      </c>
      <c r="V14" s="22" t="str">
        <f>IF(Table1[[#This Row],[Différence]]&lt;0,"Retournés","Déplacés")</f>
        <v>Déplacés</v>
      </c>
      <c r="W14" s="22" t="s">
        <v>591</v>
      </c>
      <c r="X14" s="22" t="s">
        <v>243</v>
      </c>
      <c r="Y14" s="22" t="s">
        <v>243</v>
      </c>
      <c r="Z14" s="22" t="s">
        <v>836</v>
      </c>
      <c r="AA14" s="22" t="s">
        <v>596</v>
      </c>
      <c r="AB14" s="23" t="s">
        <v>197</v>
      </c>
    </row>
    <row r="15" spans="1:28" x14ac:dyDescent="0.3">
      <c r="A15" s="21" t="s">
        <v>30</v>
      </c>
      <c r="B15" s="22" t="s">
        <v>31</v>
      </c>
      <c r="C15" s="22" t="s">
        <v>32</v>
      </c>
      <c r="D15" s="22" t="s">
        <v>33</v>
      </c>
      <c r="E15" s="22" t="s">
        <v>34</v>
      </c>
      <c r="F15" s="22" t="s">
        <v>35</v>
      </c>
      <c r="G15" s="22" t="s">
        <v>32</v>
      </c>
      <c r="H15" s="22" t="s">
        <v>36</v>
      </c>
      <c r="I15" s="22" t="s">
        <v>220</v>
      </c>
      <c r="J15" s="33">
        <v>426</v>
      </c>
      <c r="K15" s="33">
        <v>124</v>
      </c>
      <c r="L15" s="33">
        <v>424</v>
      </c>
      <c r="M15" s="33">
        <v>121</v>
      </c>
      <c r="N15" s="41">
        <v>424</v>
      </c>
      <c r="O15" s="41">
        <v>121</v>
      </c>
      <c r="P15" s="41">
        <v>424</v>
      </c>
      <c r="Q15" s="41">
        <v>121</v>
      </c>
      <c r="R15" s="41">
        <v>424</v>
      </c>
      <c r="S15" s="41">
        <v>121</v>
      </c>
      <c r="T15" s="34">
        <f>(Table1[[#This Row],[30.04.2025 Individus]]-Table1[[#This Row],[31.03.2025 Individus]])/Table1[[#This Row],[31.03.2025 Individus]]</f>
        <v>0</v>
      </c>
      <c r="U15" s="62">
        <f>Table1[[#This Row],[30.04.2025 Individus]]-Table1[[#This Row],[31.03.2025 Individus]]</f>
        <v>0</v>
      </c>
      <c r="V15" s="22" t="str">
        <f>IF(Table1[[#This Row],[Différence]]&lt;0,"Retournés","Déplacés")</f>
        <v>Déplacés</v>
      </c>
      <c r="W15" s="22" t="s">
        <v>591</v>
      </c>
      <c r="X15" s="22" t="s">
        <v>243</v>
      </c>
      <c r="Y15" s="22" t="s">
        <v>243</v>
      </c>
      <c r="Z15" s="22" t="s">
        <v>836</v>
      </c>
      <c r="AA15" s="22" t="s">
        <v>596</v>
      </c>
      <c r="AB15" s="23" t="s">
        <v>554</v>
      </c>
    </row>
    <row r="16" spans="1:28" s="9" customFormat="1" x14ac:dyDescent="0.3">
      <c r="A16" s="24" t="s">
        <v>30</v>
      </c>
      <c r="B16" s="25" t="s">
        <v>31</v>
      </c>
      <c r="C16" s="25" t="s">
        <v>32</v>
      </c>
      <c r="D16" s="25" t="s">
        <v>33</v>
      </c>
      <c r="E16" s="25" t="s">
        <v>34</v>
      </c>
      <c r="F16" s="25" t="s">
        <v>35</v>
      </c>
      <c r="G16" s="25" t="s">
        <v>32</v>
      </c>
      <c r="H16" s="25" t="s">
        <v>208</v>
      </c>
      <c r="I16" s="25" t="s">
        <v>219</v>
      </c>
      <c r="J16" s="41">
        <v>10976</v>
      </c>
      <c r="K16" s="41">
        <v>2110</v>
      </c>
      <c r="L16" s="41">
        <v>10976</v>
      </c>
      <c r="M16" s="41">
        <v>2110</v>
      </c>
      <c r="N16" s="41">
        <v>10286</v>
      </c>
      <c r="O16" s="41">
        <v>1982</v>
      </c>
      <c r="P16" s="41">
        <v>9482</v>
      </c>
      <c r="Q16" s="41">
        <v>1829</v>
      </c>
      <c r="R16" s="41">
        <v>9287</v>
      </c>
      <c r="S16" s="41">
        <v>1794</v>
      </c>
      <c r="T16" s="58">
        <f>(Table1[[#This Row],[30.04.2025 Individus]]-Table1[[#This Row],[31.03.2025 Individus]])/Table1[[#This Row],[31.03.2025 Individus]]</f>
        <v>-2.0565281586163258E-2</v>
      </c>
      <c r="U16" s="62">
        <f>Table1[[#This Row],[30.04.2025 Individus]]-Table1[[#This Row],[31.03.2025 Individus]]</f>
        <v>-195</v>
      </c>
      <c r="V16" s="25" t="str">
        <f>IF(Table1[[#This Row],[Différence]]&lt;0,"Retournés","Déplacés")</f>
        <v>Retournés</v>
      </c>
      <c r="W16" s="25" t="s">
        <v>828</v>
      </c>
      <c r="X16" s="25" t="s">
        <v>244</v>
      </c>
      <c r="Y16" s="25" t="s">
        <v>244</v>
      </c>
      <c r="Z16" s="25" t="s">
        <v>765</v>
      </c>
      <c r="AA16" s="25" t="s">
        <v>830</v>
      </c>
      <c r="AB16" s="42" t="s">
        <v>765</v>
      </c>
    </row>
    <row r="17" spans="1:28" hidden="1" x14ac:dyDescent="0.3">
      <c r="A17" s="21" t="s">
        <v>30</v>
      </c>
      <c r="B17" s="22" t="s">
        <v>31</v>
      </c>
      <c r="C17" s="22" t="s">
        <v>32</v>
      </c>
      <c r="D17" s="22" t="s">
        <v>33</v>
      </c>
      <c r="E17" s="22" t="s">
        <v>34</v>
      </c>
      <c r="F17" s="22" t="s">
        <v>35</v>
      </c>
      <c r="G17" s="22" t="s">
        <v>32</v>
      </c>
      <c r="H17" s="22" t="s">
        <v>211</v>
      </c>
      <c r="I17" s="22" t="s">
        <v>219</v>
      </c>
      <c r="J17" s="33"/>
      <c r="K17" s="33"/>
      <c r="L17" s="33"/>
      <c r="M17" s="33"/>
      <c r="N17" s="41"/>
      <c r="O17" s="41"/>
      <c r="P17" s="41"/>
      <c r="Q17" s="41"/>
      <c r="R17" s="41"/>
      <c r="S17" s="41"/>
      <c r="T17" s="34" t="e">
        <f>(Table1[[#This Row],[30.04.2025 Individus]]-Table1[[#This Row],[31.03.2025 Individus]])/Table1[[#This Row],[31.03.2025 Individus]]</f>
        <v>#DIV/0!</v>
      </c>
      <c r="U17" s="62">
        <f>Table1[[#This Row],[30.04.2025 Individus]]-Table1[[#This Row],[31.03.2025 Individus]]</f>
        <v>0</v>
      </c>
      <c r="V17" s="22" t="str">
        <f>IF(Table1[[#This Row],[Différence]]&lt;0,"Retournés","Déplacés")</f>
        <v>Déplacés</v>
      </c>
      <c r="W17" s="22" t="s">
        <v>221</v>
      </c>
      <c r="X17" s="22" t="s">
        <v>243</v>
      </c>
      <c r="Y17" s="22"/>
      <c r="Z17" s="22"/>
      <c r="AA17" s="22" t="s">
        <v>222</v>
      </c>
      <c r="AB17" s="23" t="s">
        <v>197</v>
      </c>
    </row>
    <row r="18" spans="1:28" hidden="1" x14ac:dyDescent="0.3">
      <c r="A18" s="21" t="s">
        <v>30</v>
      </c>
      <c r="B18" s="22" t="s">
        <v>31</v>
      </c>
      <c r="C18" s="22" t="s">
        <v>32</v>
      </c>
      <c r="D18" s="22" t="s">
        <v>33</v>
      </c>
      <c r="E18" s="22" t="s">
        <v>34</v>
      </c>
      <c r="F18" s="22" t="s">
        <v>35</v>
      </c>
      <c r="G18" s="22" t="s">
        <v>32</v>
      </c>
      <c r="H18" s="22" t="s">
        <v>209</v>
      </c>
      <c r="I18" s="22" t="s">
        <v>219</v>
      </c>
      <c r="J18" s="33"/>
      <c r="K18" s="33"/>
      <c r="L18" s="33"/>
      <c r="M18" s="33"/>
      <c r="N18" s="41"/>
      <c r="O18" s="41"/>
      <c r="P18" s="41"/>
      <c r="Q18" s="41"/>
      <c r="R18" s="41"/>
      <c r="S18" s="41"/>
      <c r="T18" s="34" t="e">
        <f>(Table1[[#This Row],[30.04.2025 Individus]]-Table1[[#This Row],[31.03.2025 Individus]])/Table1[[#This Row],[31.03.2025 Individus]]</f>
        <v>#DIV/0!</v>
      </c>
      <c r="U18" s="62">
        <f>Table1[[#This Row],[30.04.2025 Individus]]-Table1[[#This Row],[31.03.2025 Individus]]</f>
        <v>0</v>
      </c>
      <c r="V18" s="22" t="str">
        <f>IF(Table1[[#This Row],[Différence]]&lt;0,"Retournés","Déplacés")</f>
        <v>Déplacés</v>
      </c>
      <c r="W18" s="22" t="s">
        <v>221</v>
      </c>
      <c r="X18" s="22" t="s">
        <v>243</v>
      </c>
      <c r="Y18" s="22"/>
      <c r="Z18" s="22"/>
      <c r="AA18" s="22" t="s">
        <v>222</v>
      </c>
      <c r="AB18" s="23" t="s">
        <v>197</v>
      </c>
    </row>
    <row r="19" spans="1:28" hidden="1" x14ac:dyDescent="0.3">
      <c r="A19" s="21" t="s">
        <v>30</v>
      </c>
      <c r="B19" s="22" t="s">
        <v>31</v>
      </c>
      <c r="C19" s="22" t="s">
        <v>32</v>
      </c>
      <c r="D19" s="22" t="s">
        <v>33</v>
      </c>
      <c r="E19" s="22" t="s">
        <v>34</v>
      </c>
      <c r="F19" s="22" t="s">
        <v>35</v>
      </c>
      <c r="G19" s="22" t="s">
        <v>32</v>
      </c>
      <c r="H19" s="22" t="s">
        <v>210</v>
      </c>
      <c r="I19" s="22" t="s">
        <v>219</v>
      </c>
      <c r="J19" s="33"/>
      <c r="K19" s="33"/>
      <c r="L19" s="33"/>
      <c r="M19" s="33"/>
      <c r="N19" s="41"/>
      <c r="O19" s="41"/>
      <c r="P19" s="41"/>
      <c r="Q19" s="41"/>
      <c r="R19" s="41"/>
      <c r="S19" s="41"/>
      <c r="T19" s="34" t="e">
        <f>(Table1[[#This Row],[30.04.2025 Individus]]-Table1[[#This Row],[31.03.2025 Individus]])/Table1[[#This Row],[31.03.2025 Individus]]</f>
        <v>#DIV/0!</v>
      </c>
      <c r="U19" s="62">
        <f>Table1[[#This Row],[30.04.2025 Individus]]-Table1[[#This Row],[31.03.2025 Individus]]</f>
        <v>0</v>
      </c>
      <c r="V19" s="22" t="str">
        <f>IF(Table1[[#This Row],[Différence]]&lt;0,"Retournés","Déplacés")</f>
        <v>Déplacés</v>
      </c>
      <c r="W19" s="22" t="s">
        <v>221</v>
      </c>
      <c r="X19" s="22" t="s">
        <v>243</v>
      </c>
      <c r="Y19" s="22"/>
      <c r="Z19" s="22"/>
      <c r="AA19" s="22" t="s">
        <v>222</v>
      </c>
      <c r="AB19" s="23" t="s">
        <v>197</v>
      </c>
    </row>
    <row r="20" spans="1:28" x14ac:dyDescent="0.3">
      <c r="A20" s="21" t="s">
        <v>37</v>
      </c>
      <c r="B20" s="22" t="s">
        <v>38</v>
      </c>
      <c r="C20" s="22" t="s">
        <v>54</v>
      </c>
      <c r="D20" s="22" t="s">
        <v>55</v>
      </c>
      <c r="E20" s="22" t="s">
        <v>54</v>
      </c>
      <c r="F20" s="22" t="s">
        <v>56</v>
      </c>
      <c r="G20" s="22" t="s">
        <v>57</v>
      </c>
      <c r="H20" s="22" t="s">
        <v>224</v>
      </c>
      <c r="I20" s="22" t="s">
        <v>219</v>
      </c>
      <c r="J20" s="33">
        <v>160</v>
      </c>
      <c r="K20" s="33">
        <v>32</v>
      </c>
      <c r="L20" s="33">
        <v>210</v>
      </c>
      <c r="M20" s="33">
        <v>40</v>
      </c>
      <c r="N20" s="41">
        <v>210</v>
      </c>
      <c r="O20" s="41">
        <v>40</v>
      </c>
      <c r="P20" s="41">
        <v>210</v>
      </c>
      <c r="Q20" s="41">
        <v>40</v>
      </c>
      <c r="R20" s="41">
        <v>210</v>
      </c>
      <c r="S20" s="41">
        <v>40</v>
      </c>
      <c r="T20" s="34">
        <f>(Table1[[#This Row],[30.04.2025 Individus]]-Table1[[#This Row],[31.03.2025 Individus]])/Table1[[#This Row],[31.03.2025 Individus]]</f>
        <v>0</v>
      </c>
      <c r="U20" s="62">
        <f>Table1[[#This Row],[30.04.2025 Individus]]-Table1[[#This Row],[31.03.2025 Individus]]</f>
        <v>0</v>
      </c>
      <c r="V20" s="22" t="str">
        <f>IF(Table1[[#This Row],[Différence]]&lt;0,"Retournés","Déplacés")</f>
        <v>Déplacés</v>
      </c>
      <c r="W20" s="22" t="s">
        <v>591</v>
      </c>
      <c r="X20" s="22" t="s">
        <v>243</v>
      </c>
      <c r="Y20" s="22" t="s">
        <v>243</v>
      </c>
      <c r="Z20" s="22" t="s">
        <v>836</v>
      </c>
      <c r="AA20" s="22" t="s">
        <v>596</v>
      </c>
      <c r="AB20" s="23" t="s">
        <v>197</v>
      </c>
    </row>
    <row r="21" spans="1:28" x14ac:dyDescent="0.3">
      <c r="A21" s="21" t="s">
        <v>37</v>
      </c>
      <c r="B21" s="22" t="s">
        <v>38</v>
      </c>
      <c r="C21" s="22" t="s">
        <v>44</v>
      </c>
      <c r="D21" s="22" t="s">
        <v>45</v>
      </c>
      <c r="E21" s="22" t="s">
        <v>44</v>
      </c>
      <c r="F21" s="22" t="s">
        <v>46</v>
      </c>
      <c r="G21" s="22" t="s">
        <v>44</v>
      </c>
      <c r="H21" s="22" t="s">
        <v>47</v>
      </c>
      <c r="I21" s="22" t="s">
        <v>219</v>
      </c>
      <c r="J21" s="33">
        <v>2474</v>
      </c>
      <c r="K21" s="33">
        <v>658</v>
      </c>
      <c r="L21" s="33">
        <v>2473</v>
      </c>
      <c r="M21" s="33">
        <v>657</v>
      </c>
      <c r="N21" s="41">
        <v>2473</v>
      </c>
      <c r="O21" s="41">
        <v>657</v>
      </c>
      <c r="P21" s="41">
        <v>2471</v>
      </c>
      <c r="Q21" s="41">
        <v>656</v>
      </c>
      <c r="R21" s="41">
        <v>2471</v>
      </c>
      <c r="S21" s="41">
        <v>656</v>
      </c>
      <c r="T21" s="34">
        <f>(Table1[[#This Row],[30.04.2025 Individus]]-Table1[[#This Row],[31.03.2025 Individus]])/Table1[[#This Row],[31.03.2025 Individus]]</f>
        <v>0</v>
      </c>
      <c r="U21" s="62">
        <f>Table1[[#This Row],[30.04.2025 Individus]]-Table1[[#This Row],[31.03.2025 Individus]]</f>
        <v>0</v>
      </c>
      <c r="V21" s="22" t="str">
        <f>IF(Table1[[#This Row],[Différence]]&lt;0,"Retournés","Déplacés")</f>
        <v>Déplacés</v>
      </c>
      <c r="W21" s="22" t="s">
        <v>761</v>
      </c>
      <c r="X21" s="22" t="s">
        <v>244</v>
      </c>
      <c r="Y21" s="22" t="s">
        <v>244</v>
      </c>
      <c r="Z21" s="22" t="s">
        <v>199</v>
      </c>
      <c r="AA21" s="22" t="s">
        <v>230</v>
      </c>
      <c r="AB21" s="23" t="s">
        <v>199</v>
      </c>
    </row>
    <row r="22" spans="1:28" x14ac:dyDescent="0.3">
      <c r="A22" s="21" t="s">
        <v>37</v>
      </c>
      <c r="B22" s="22" t="s">
        <v>38</v>
      </c>
      <c r="C22" s="22" t="s">
        <v>44</v>
      </c>
      <c r="D22" s="22" t="s">
        <v>45</v>
      </c>
      <c r="E22" s="22" t="s">
        <v>44</v>
      </c>
      <c r="F22" s="22" t="s">
        <v>46</v>
      </c>
      <c r="G22" s="22" t="s">
        <v>44</v>
      </c>
      <c r="H22" s="22" t="s">
        <v>48</v>
      </c>
      <c r="I22" s="22" t="s">
        <v>219</v>
      </c>
      <c r="J22" s="33">
        <v>2750</v>
      </c>
      <c r="K22" s="33">
        <v>653</v>
      </c>
      <c r="L22" s="33">
        <v>2739</v>
      </c>
      <c r="M22" s="33">
        <v>649</v>
      </c>
      <c r="N22" s="41">
        <v>2733</v>
      </c>
      <c r="O22" s="41">
        <v>648</v>
      </c>
      <c r="P22" s="41">
        <v>2723</v>
      </c>
      <c r="Q22" s="41">
        <v>647</v>
      </c>
      <c r="R22" s="41">
        <v>2723</v>
      </c>
      <c r="S22" s="41">
        <v>647</v>
      </c>
      <c r="T22" s="34">
        <f>(Table1[[#This Row],[30.04.2025 Individus]]-Table1[[#This Row],[31.03.2025 Individus]])/Table1[[#This Row],[31.03.2025 Individus]]</f>
        <v>0</v>
      </c>
      <c r="U22" s="62">
        <f>Table1[[#This Row],[30.04.2025 Individus]]-Table1[[#This Row],[31.03.2025 Individus]]</f>
        <v>0</v>
      </c>
      <c r="V22" s="22" t="str">
        <f>IF(Table1[[#This Row],[Différence]]&lt;0,"Retournés","Déplacés")</f>
        <v>Déplacés</v>
      </c>
      <c r="W22" s="22" t="s">
        <v>761</v>
      </c>
      <c r="X22" s="22" t="s">
        <v>244</v>
      </c>
      <c r="Y22" s="22" t="s">
        <v>244</v>
      </c>
      <c r="Z22" s="22" t="s">
        <v>199</v>
      </c>
      <c r="AA22" s="22" t="s">
        <v>230</v>
      </c>
      <c r="AB22" s="23" t="s">
        <v>199</v>
      </c>
    </row>
    <row r="23" spans="1:28" hidden="1" x14ac:dyDescent="0.3">
      <c r="A23" s="21" t="s">
        <v>37</v>
      </c>
      <c r="B23" s="22" t="s">
        <v>38</v>
      </c>
      <c r="C23" s="22" t="s">
        <v>44</v>
      </c>
      <c r="D23" s="22" t="s">
        <v>45</v>
      </c>
      <c r="E23" s="22" t="s">
        <v>51</v>
      </c>
      <c r="F23" s="22" t="s">
        <v>618</v>
      </c>
      <c r="G23" s="22" t="s">
        <v>51</v>
      </c>
      <c r="H23" s="22" t="s">
        <v>53</v>
      </c>
      <c r="I23" s="22" t="s">
        <v>220</v>
      </c>
      <c r="J23" s="33"/>
      <c r="K23" s="33"/>
      <c r="L23" s="33"/>
      <c r="M23" s="33"/>
      <c r="N23" s="41"/>
      <c r="O23" s="41"/>
      <c r="P23" s="41"/>
      <c r="Q23" s="41"/>
      <c r="R23" s="41"/>
      <c r="S23" s="41"/>
      <c r="T23" s="34" t="e">
        <f>(Table1[[#This Row],[30.04.2025 Individus]]-Table1[[#This Row],[31.03.2025 Individus]])/Table1[[#This Row],[31.03.2025 Individus]]</f>
        <v>#DIV/0!</v>
      </c>
      <c r="U23" s="62">
        <f>Table1[[#This Row],[30.04.2025 Individus]]-Table1[[#This Row],[31.03.2025 Individus]]</f>
        <v>0</v>
      </c>
      <c r="V23" s="22" t="str">
        <f>IF(Table1[[#This Row],[Différence]]&lt;0,"Retournés","Déplacés")</f>
        <v>Déplacés</v>
      </c>
      <c r="W23" s="22" t="s">
        <v>565</v>
      </c>
      <c r="X23" s="22" t="s">
        <v>243</v>
      </c>
      <c r="Y23" s="22" t="s">
        <v>199</v>
      </c>
      <c r="Z23" s="22"/>
      <c r="AA23" s="22" t="s">
        <v>572</v>
      </c>
      <c r="AB23" s="23" t="s">
        <v>199</v>
      </c>
    </row>
    <row r="24" spans="1:28" x14ac:dyDescent="0.3">
      <c r="A24" s="21" t="s">
        <v>37</v>
      </c>
      <c r="B24" s="22" t="s">
        <v>38</v>
      </c>
      <c r="C24" s="22" t="s">
        <v>44</v>
      </c>
      <c r="D24" s="22" t="s">
        <v>45</v>
      </c>
      <c r="E24" s="22" t="s">
        <v>44</v>
      </c>
      <c r="F24" s="22" t="s">
        <v>46</v>
      </c>
      <c r="G24" s="22" t="s">
        <v>44</v>
      </c>
      <c r="H24" s="22" t="s">
        <v>51</v>
      </c>
      <c r="I24" s="22" t="s">
        <v>219</v>
      </c>
      <c r="J24" s="40">
        <v>2028</v>
      </c>
      <c r="K24" s="40">
        <v>482</v>
      </c>
      <c r="L24" s="40">
        <f>1062+444</f>
        <v>1506</v>
      </c>
      <c r="M24" s="40">
        <f>209+166</f>
        <v>375</v>
      </c>
      <c r="N24" s="68">
        <v>1506</v>
      </c>
      <c r="O24" s="68">
        <v>375</v>
      </c>
      <c r="P24" s="68">
        <v>1506</v>
      </c>
      <c r="Q24" s="68">
        <v>375</v>
      </c>
      <c r="R24" s="68">
        <v>1506</v>
      </c>
      <c r="S24" s="68">
        <v>375</v>
      </c>
      <c r="T24" s="34">
        <f>(Table1[[#This Row],[30.04.2025 Individus]]-Table1[[#This Row],[31.03.2025 Individus]])/Table1[[#This Row],[31.03.2025 Individus]]</f>
        <v>0</v>
      </c>
      <c r="U24" s="62">
        <f>Table1[[#This Row],[30.04.2025 Individus]]-Table1[[#This Row],[31.03.2025 Individus]]</f>
        <v>0</v>
      </c>
      <c r="V24" s="22" t="str">
        <f>IF(Table1[[#This Row],[Différence]]&lt;0,"Retournés","Déplacés")</f>
        <v>Déplacés</v>
      </c>
      <c r="W24" s="22" t="s">
        <v>761</v>
      </c>
      <c r="X24" s="22" t="s">
        <v>244</v>
      </c>
      <c r="Y24" s="22" t="s">
        <v>244</v>
      </c>
      <c r="Z24" s="22" t="s">
        <v>199</v>
      </c>
      <c r="AA24" s="22" t="s">
        <v>230</v>
      </c>
      <c r="AB24" s="23" t="s">
        <v>199</v>
      </c>
    </row>
    <row r="25" spans="1:28" x14ac:dyDescent="0.3">
      <c r="A25" s="21" t="s">
        <v>37</v>
      </c>
      <c r="B25" s="22" t="s">
        <v>38</v>
      </c>
      <c r="C25" s="22" t="s">
        <v>44</v>
      </c>
      <c r="D25" s="22" t="s">
        <v>45</v>
      </c>
      <c r="E25" s="22" t="s">
        <v>44</v>
      </c>
      <c r="F25" s="22" t="s">
        <v>46</v>
      </c>
      <c r="G25" s="22" t="s">
        <v>44</v>
      </c>
      <c r="H25" s="22" t="s">
        <v>52</v>
      </c>
      <c r="I25" s="22" t="s">
        <v>219</v>
      </c>
      <c r="J25" s="33">
        <v>1765</v>
      </c>
      <c r="K25" s="33">
        <v>426</v>
      </c>
      <c r="L25" s="33">
        <v>1760</v>
      </c>
      <c r="M25" s="33">
        <v>425</v>
      </c>
      <c r="N25" s="41">
        <v>1760</v>
      </c>
      <c r="O25" s="41">
        <v>425</v>
      </c>
      <c r="P25" s="41">
        <v>1760</v>
      </c>
      <c r="Q25" s="41">
        <v>425</v>
      </c>
      <c r="R25" s="41">
        <v>1760</v>
      </c>
      <c r="S25" s="41">
        <v>425</v>
      </c>
      <c r="T25" s="34">
        <f>(Table1[[#This Row],[30.04.2025 Individus]]-Table1[[#This Row],[31.03.2025 Individus]])/Table1[[#This Row],[31.03.2025 Individus]]</f>
        <v>0</v>
      </c>
      <c r="U25" s="62">
        <f>Table1[[#This Row],[30.04.2025 Individus]]-Table1[[#This Row],[31.03.2025 Individus]]</f>
        <v>0</v>
      </c>
      <c r="V25" s="22" t="str">
        <f>IF(Table1[[#This Row],[Différence]]&lt;0,"Retournés","Déplacés")</f>
        <v>Déplacés</v>
      </c>
      <c r="W25" s="22" t="s">
        <v>761</v>
      </c>
      <c r="X25" s="22" t="s">
        <v>244</v>
      </c>
      <c r="Y25" s="22" t="s">
        <v>244</v>
      </c>
      <c r="Z25" s="22" t="s">
        <v>199</v>
      </c>
      <c r="AA25" s="22" t="s">
        <v>230</v>
      </c>
      <c r="AB25" s="23" t="s">
        <v>199</v>
      </c>
    </row>
    <row r="26" spans="1:28" x14ac:dyDescent="0.3">
      <c r="A26" s="21" t="s">
        <v>37</v>
      </c>
      <c r="B26" s="22" t="s">
        <v>38</v>
      </c>
      <c r="C26" s="22" t="s">
        <v>44</v>
      </c>
      <c r="D26" s="22" t="s">
        <v>45</v>
      </c>
      <c r="E26" s="22" t="s">
        <v>44</v>
      </c>
      <c r="F26" s="22" t="s">
        <v>46</v>
      </c>
      <c r="G26" s="22" t="s">
        <v>44</v>
      </c>
      <c r="H26" s="22" t="s">
        <v>49</v>
      </c>
      <c r="I26" s="22" t="s">
        <v>219</v>
      </c>
      <c r="J26" s="33">
        <v>657</v>
      </c>
      <c r="K26" s="33">
        <v>169</v>
      </c>
      <c r="L26" s="33">
        <v>656</v>
      </c>
      <c r="M26" s="33">
        <v>168</v>
      </c>
      <c r="N26" s="41">
        <v>656</v>
      </c>
      <c r="O26" s="41">
        <v>168</v>
      </c>
      <c r="P26" s="41">
        <v>654</v>
      </c>
      <c r="Q26" s="41">
        <v>167</v>
      </c>
      <c r="R26" s="41">
        <v>654</v>
      </c>
      <c r="S26" s="41">
        <v>167</v>
      </c>
      <c r="T26" s="34">
        <f>(Table1[[#This Row],[30.04.2025 Individus]]-Table1[[#This Row],[31.03.2025 Individus]])/Table1[[#This Row],[31.03.2025 Individus]]</f>
        <v>0</v>
      </c>
      <c r="U26" s="62">
        <f>Table1[[#This Row],[30.04.2025 Individus]]-Table1[[#This Row],[31.03.2025 Individus]]</f>
        <v>0</v>
      </c>
      <c r="V26" s="22" t="str">
        <f>IF(Table1[[#This Row],[Différence]]&lt;0,"Retournés","Déplacés")</f>
        <v>Déplacés</v>
      </c>
      <c r="W26" s="22" t="s">
        <v>761</v>
      </c>
      <c r="X26" s="22" t="s">
        <v>244</v>
      </c>
      <c r="Y26" s="22" t="s">
        <v>244</v>
      </c>
      <c r="Z26" s="22" t="s">
        <v>199</v>
      </c>
      <c r="AA26" s="22" t="s">
        <v>230</v>
      </c>
      <c r="AB26" s="23" t="s">
        <v>199</v>
      </c>
    </row>
    <row r="27" spans="1:28" hidden="1" x14ac:dyDescent="0.3">
      <c r="A27" s="21" t="s">
        <v>37</v>
      </c>
      <c r="B27" s="22" t="s">
        <v>38</v>
      </c>
      <c r="C27" s="22" t="s">
        <v>39</v>
      </c>
      <c r="D27" s="22" t="s">
        <v>40</v>
      </c>
      <c r="E27" s="22" t="s">
        <v>39</v>
      </c>
      <c r="F27" s="22" t="s">
        <v>41</v>
      </c>
      <c r="G27" s="22" t="s">
        <v>39</v>
      </c>
      <c r="H27" s="22" t="s">
        <v>43</v>
      </c>
      <c r="I27" s="22" t="s">
        <v>220</v>
      </c>
      <c r="J27" s="33"/>
      <c r="K27" s="33"/>
      <c r="L27" s="33"/>
      <c r="M27" s="33"/>
      <c r="N27" s="41"/>
      <c r="O27" s="41"/>
      <c r="P27" s="41"/>
      <c r="Q27" s="41"/>
      <c r="R27" s="41"/>
      <c r="S27" s="41"/>
      <c r="T27" s="34" t="e">
        <f>(Table1[[#This Row],[30.04.2025 Individus]]-Table1[[#This Row],[31.03.2025 Individus]])/Table1[[#This Row],[31.03.2025 Individus]]</f>
        <v>#DIV/0!</v>
      </c>
      <c r="U27" s="62">
        <f>Table1[[#This Row],[30.04.2025 Individus]]-Table1[[#This Row],[31.03.2025 Individus]]</f>
        <v>0</v>
      </c>
      <c r="V27" s="22" t="str">
        <f>IF(Table1[[#This Row],[Différence]]&lt;0,"Retournés","Déplacés")</f>
        <v>Déplacés</v>
      </c>
      <c r="W27" s="22" t="s">
        <v>553</v>
      </c>
      <c r="X27" s="22" t="s">
        <v>243</v>
      </c>
      <c r="Y27" s="22" t="s">
        <v>199</v>
      </c>
      <c r="Z27" s="22"/>
      <c r="AA27" s="22" t="s">
        <v>222</v>
      </c>
      <c r="AB27" s="23" t="s">
        <v>199</v>
      </c>
    </row>
    <row r="28" spans="1:28" x14ac:dyDescent="0.3">
      <c r="A28" s="21" t="s">
        <v>37</v>
      </c>
      <c r="B28" s="22" t="s">
        <v>38</v>
      </c>
      <c r="C28" s="22" t="s">
        <v>39</v>
      </c>
      <c r="D28" s="22" t="s">
        <v>40</v>
      </c>
      <c r="E28" s="22" t="s">
        <v>39</v>
      </c>
      <c r="F28" s="22" t="s">
        <v>41</v>
      </c>
      <c r="G28" s="22" t="s">
        <v>39</v>
      </c>
      <c r="H28" s="22" t="s">
        <v>42</v>
      </c>
      <c r="I28" s="22" t="s">
        <v>220</v>
      </c>
      <c r="J28" s="33">
        <v>401</v>
      </c>
      <c r="K28" s="33">
        <v>81</v>
      </c>
      <c r="L28" s="33">
        <v>180</v>
      </c>
      <c r="M28" s="33">
        <v>33</v>
      </c>
      <c r="N28" s="41">
        <v>490</v>
      </c>
      <c r="O28" s="41">
        <v>110</v>
      </c>
      <c r="P28" s="41">
        <v>1110</v>
      </c>
      <c r="Q28" s="41">
        <v>183</v>
      </c>
      <c r="R28" s="41">
        <v>1110</v>
      </c>
      <c r="S28" s="41">
        <v>183</v>
      </c>
      <c r="T28" s="34">
        <f>(Table1[[#This Row],[30.04.2025 Individus]]-Table1[[#This Row],[31.03.2025 Individus]])/Table1[[#This Row],[31.03.2025 Individus]]</f>
        <v>0</v>
      </c>
      <c r="U28" s="62">
        <f>Table1[[#This Row],[30.04.2025 Individus]]-Table1[[#This Row],[31.03.2025 Individus]]</f>
        <v>0</v>
      </c>
      <c r="V28" s="22" t="str">
        <f>IF(Table1[[#This Row],[Différence]]&lt;0,"Retournés","Déplacés")</f>
        <v>Déplacés</v>
      </c>
      <c r="W28" s="22" t="s">
        <v>761</v>
      </c>
      <c r="X28" s="22" t="s">
        <v>244</v>
      </c>
      <c r="Y28" s="59" t="s">
        <v>244</v>
      </c>
      <c r="Z28" s="59" t="s">
        <v>763</v>
      </c>
      <c r="AA28" s="22" t="s">
        <v>230</v>
      </c>
      <c r="AB28" s="60" t="s">
        <v>763</v>
      </c>
    </row>
    <row r="29" spans="1:28" x14ac:dyDescent="0.3">
      <c r="A29" s="21" t="s">
        <v>37</v>
      </c>
      <c r="B29" s="22" t="s">
        <v>38</v>
      </c>
      <c r="C29" s="22" t="s">
        <v>39</v>
      </c>
      <c r="D29" s="22" t="s">
        <v>40</v>
      </c>
      <c r="E29" s="22" t="s">
        <v>39</v>
      </c>
      <c r="F29" s="22" t="s">
        <v>41</v>
      </c>
      <c r="G29" s="22" t="s">
        <v>569</v>
      </c>
      <c r="H29" s="22" t="s">
        <v>570</v>
      </c>
      <c r="I29" s="22" t="s">
        <v>220</v>
      </c>
      <c r="J29" s="33">
        <v>1692</v>
      </c>
      <c r="K29" s="33">
        <v>381</v>
      </c>
      <c r="L29" s="33">
        <v>923</v>
      </c>
      <c r="M29" s="33">
        <v>193</v>
      </c>
      <c r="N29" s="41">
        <v>923</v>
      </c>
      <c r="O29" s="41">
        <v>193</v>
      </c>
      <c r="P29" s="41">
        <v>1486</v>
      </c>
      <c r="Q29" s="41">
        <v>276</v>
      </c>
      <c r="R29" s="41">
        <v>1486</v>
      </c>
      <c r="S29" s="41">
        <v>276</v>
      </c>
      <c r="T29" s="34">
        <f>(Table1[[#This Row],[30.04.2025 Individus]]-Table1[[#This Row],[31.03.2025 Individus]])/Table1[[#This Row],[31.03.2025 Individus]]</f>
        <v>0</v>
      </c>
      <c r="U29" s="62">
        <f>Table1[[#This Row],[30.04.2025 Individus]]-Table1[[#This Row],[31.03.2025 Individus]]</f>
        <v>0</v>
      </c>
      <c r="V29" s="22" t="str">
        <f>IF(Table1[[#This Row],[Différence]]&lt;0,"Retournés","Déplacés")</f>
        <v>Déplacés</v>
      </c>
      <c r="W29" s="22" t="s">
        <v>761</v>
      </c>
      <c r="X29" s="22" t="s">
        <v>244</v>
      </c>
      <c r="Y29" s="59" t="s">
        <v>244</v>
      </c>
      <c r="Z29" s="59" t="s">
        <v>763</v>
      </c>
      <c r="AA29" s="22" t="s">
        <v>764</v>
      </c>
      <c r="AB29" s="60" t="s">
        <v>763</v>
      </c>
    </row>
    <row r="30" spans="1:28" hidden="1" x14ac:dyDescent="0.3">
      <c r="A30" s="21" t="s">
        <v>37</v>
      </c>
      <c r="B30" s="22" t="s">
        <v>38</v>
      </c>
      <c r="C30" s="22" t="s">
        <v>44</v>
      </c>
      <c r="D30" s="22" t="s">
        <v>45</v>
      </c>
      <c r="E30" s="22" t="s">
        <v>51</v>
      </c>
      <c r="F30" s="22" t="s">
        <v>618</v>
      </c>
      <c r="G30" s="22" t="s">
        <v>44</v>
      </c>
      <c r="H30" s="22" t="s">
        <v>212</v>
      </c>
      <c r="I30" s="22" t="s">
        <v>220</v>
      </c>
      <c r="J30" s="33"/>
      <c r="K30" s="33"/>
      <c r="L30" s="33"/>
      <c r="M30" s="33"/>
      <c r="N30" s="41"/>
      <c r="O30" s="41"/>
      <c r="P30" s="41"/>
      <c r="Q30" s="41"/>
      <c r="R30" s="41"/>
      <c r="S30" s="41"/>
      <c r="T30" s="34" t="e">
        <f>(Table1[[#This Row],[30.04.2025 Individus]]-Table1[[#This Row],[31.03.2025 Individus]])/Table1[[#This Row],[31.03.2025 Individus]]</f>
        <v>#DIV/0!</v>
      </c>
      <c r="U30" s="62">
        <f>Table1[[#This Row],[30.04.2025 Individus]]-Table1[[#This Row],[31.03.2025 Individus]]</f>
        <v>0</v>
      </c>
      <c r="V30" s="22" t="str">
        <f>IF(Table1[[#This Row],[Différence]]&lt;0,"Retournés","Déplacés")</f>
        <v>Déplacés</v>
      </c>
      <c r="W30" s="22" t="s">
        <v>559</v>
      </c>
      <c r="X30" s="22" t="s">
        <v>243</v>
      </c>
      <c r="Y30" s="22" t="s">
        <v>199</v>
      </c>
      <c r="Z30" s="22"/>
      <c r="AA30" s="22" t="s">
        <v>571</v>
      </c>
      <c r="AB30" s="23" t="s">
        <v>199</v>
      </c>
    </row>
    <row r="31" spans="1:28" x14ac:dyDescent="0.3">
      <c r="A31" s="21" t="s">
        <v>37</v>
      </c>
      <c r="B31" s="22" t="s">
        <v>38</v>
      </c>
      <c r="C31" s="22" t="s">
        <v>44</v>
      </c>
      <c r="D31" s="22" t="s">
        <v>45</v>
      </c>
      <c r="E31" s="22" t="s">
        <v>44</v>
      </c>
      <c r="F31" s="22" t="s">
        <v>46</v>
      </c>
      <c r="G31" s="22" t="s">
        <v>44</v>
      </c>
      <c r="H31" s="22" t="s">
        <v>50</v>
      </c>
      <c r="I31" s="22" t="s">
        <v>219</v>
      </c>
      <c r="J31" s="33">
        <v>625</v>
      </c>
      <c r="K31" s="33">
        <v>143</v>
      </c>
      <c r="L31" s="33">
        <v>490</v>
      </c>
      <c r="M31" s="33">
        <v>110</v>
      </c>
      <c r="N31" s="41">
        <v>490</v>
      </c>
      <c r="O31" s="41">
        <v>110</v>
      </c>
      <c r="P31" s="41">
        <v>490</v>
      </c>
      <c r="Q31" s="41">
        <v>110</v>
      </c>
      <c r="R31" s="41">
        <v>490</v>
      </c>
      <c r="S31" s="41">
        <v>110</v>
      </c>
      <c r="T31" s="34">
        <f>(Table1[[#This Row],[30.04.2025 Individus]]-Table1[[#This Row],[31.03.2025 Individus]])/Table1[[#This Row],[31.03.2025 Individus]]</f>
        <v>0</v>
      </c>
      <c r="U31" s="62">
        <f>Table1[[#This Row],[30.04.2025 Individus]]-Table1[[#This Row],[31.03.2025 Individus]]</f>
        <v>0</v>
      </c>
      <c r="V31" s="22" t="str">
        <f>IF(Table1[[#This Row],[Différence]]&lt;0,"Retournés","Déplacés")</f>
        <v>Déplacés</v>
      </c>
      <c r="W31" s="22" t="s">
        <v>761</v>
      </c>
      <c r="X31" s="22" t="s">
        <v>244</v>
      </c>
      <c r="Y31" s="22" t="s">
        <v>244</v>
      </c>
      <c r="Z31" s="22" t="s">
        <v>199</v>
      </c>
      <c r="AA31" s="22" t="s">
        <v>230</v>
      </c>
      <c r="AB31" s="23" t="s">
        <v>199</v>
      </c>
    </row>
    <row r="32" spans="1:28" x14ac:dyDescent="0.3">
      <c r="A32" s="21" t="s">
        <v>58</v>
      </c>
      <c r="B32" s="22" t="s">
        <v>59</v>
      </c>
      <c r="C32" s="22" t="s">
        <v>72</v>
      </c>
      <c r="D32" s="22" t="s">
        <v>73</v>
      </c>
      <c r="E32" s="22" t="s">
        <v>72</v>
      </c>
      <c r="F32" s="22" t="s">
        <v>494</v>
      </c>
      <c r="G32" s="22" t="s">
        <v>72</v>
      </c>
      <c r="H32" s="22" t="s">
        <v>580</v>
      </c>
      <c r="I32" s="22" t="s">
        <v>220</v>
      </c>
      <c r="J32" s="33">
        <v>152</v>
      </c>
      <c r="K32" s="33">
        <v>26</v>
      </c>
      <c r="L32" s="33">
        <v>152</v>
      </c>
      <c r="M32" s="33">
        <v>26</v>
      </c>
      <c r="N32" s="41">
        <v>152</v>
      </c>
      <c r="O32" s="41">
        <v>26</v>
      </c>
      <c r="P32" s="41">
        <v>152</v>
      </c>
      <c r="Q32" s="41">
        <v>26</v>
      </c>
      <c r="R32" s="41">
        <v>152</v>
      </c>
      <c r="S32" s="41">
        <v>26</v>
      </c>
      <c r="T32" s="34">
        <f>(Table1[[#This Row],[30.04.2025 Individus]]-Table1[[#This Row],[31.03.2025 Individus]])/Table1[[#This Row],[31.03.2025 Individus]]</f>
        <v>0</v>
      </c>
      <c r="U32" s="62">
        <f>Table1[[#This Row],[30.04.2025 Individus]]-Table1[[#This Row],[31.03.2025 Individus]]</f>
        <v>0</v>
      </c>
      <c r="V32" s="22" t="str">
        <f>IF(Table1[[#This Row],[Différence]]&lt;0,"Retournés","Déplacés")</f>
        <v>Déplacés</v>
      </c>
      <c r="W32" s="22" t="s">
        <v>591</v>
      </c>
      <c r="X32" s="22" t="s">
        <v>243</v>
      </c>
      <c r="Y32" s="22" t="s">
        <v>244</v>
      </c>
      <c r="Z32" s="22" t="s">
        <v>201</v>
      </c>
      <c r="AA32" s="22" t="s">
        <v>229</v>
      </c>
      <c r="AB32" s="23" t="s">
        <v>201</v>
      </c>
    </row>
    <row r="33" spans="1:28" x14ac:dyDescent="0.3">
      <c r="A33" s="21" t="s">
        <v>58</v>
      </c>
      <c r="B33" s="22" t="s">
        <v>59</v>
      </c>
      <c r="C33" s="22" t="s">
        <v>72</v>
      </c>
      <c r="D33" s="22" t="s">
        <v>73</v>
      </c>
      <c r="E33" s="22" t="s">
        <v>72</v>
      </c>
      <c r="F33" s="22" t="s">
        <v>494</v>
      </c>
      <c r="G33" s="22" t="s">
        <v>72</v>
      </c>
      <c r="H33" s="22" t="s">
        <v>578</v>
      </c>
      <c r="I33" s="22" t="s">
        <v>220</v>
      </c>
      <c r="J33" s="33">
        <v>669</v>
      </c>
      <c r="K33" s="33">
        <v>121</v>
      </c>
      <c r="L33" s="33">
        <v>700</v>
      </c>
      <c r="M33" s="33">
        <v>122</v>
      </c>
      <c r="N33" s="41">
        <v>700</v>
      </c>
      <c r="O33" s="41">
        <v>122</v>
      </c>
      <c r="P33" s="41">
        <v>700</v>
      </c>
      <c r="Q33" s="41">
        <v>122</v>
      </c>
      <c r="R33" s="41">
        <v>700</v>
      </c>
      <c r="S33" s="41">
        <v>122</v>
      </c>
      <c r="T33" s="34">
        <f>(Table1[[#This Row],[30.04.2025 Individus]]-Table1[[#This Row],[31.03.2025 Individus]])/Table1[[#This Row],[31.03.2025 Individus]]</f>
        <v>0</v>
      </c>
      <c r="U33" s="62">
        <f>Table1[[#This Row],[30.04.2025 Individus]]-Table1[[#This Row],[31.03.2025 Individus]]</f>
        <v>0</v>
      </c>
      <c r="V33" s="22" t="str">
        <f>IF(Table1[[#This Row],[Différence]]&lt;0,"Retournés","Déplacés")</f>
        <v>Déplacés</v>
      </c>
      <c r="W33" s="22" t="s">
        <v>591</v>
      </c>
      <c r="X33" s="22" t="s">
        <v>243</v>
      </c>
      <c r="Y33" s="22" t="s">
        <v>244</v>
      </c>
      <c r="Z33" s="22" t="s">
        <v>201</v>
      </c>
      <c r="AA33" s="22" t="s">
        <v>579</v>
      </c>
      <c r="AB33" s="23" t="s">
        <v>201</v>
      </c>
    </row>
    <row r="34" spans="1:28" x14ac:dyDescent="0.3">
      <c r="A34" s="21" t="s">
        <v>58</v>
      </c>
      <c r="B34" s="22" t="s">
        <v>59</v>
      </c>
      <c r="C34" s="22" t="s">
        <v>72</v>
      </c>
      <c r="D34" s="22" t="s">
        <v>73</v>
      </c>
      <c r="E34" s="22" t="s">
        <v>72</v>
      </c>
      <c r="F34" s="22" t="s">
        <v>494</v>
      </c>
      <c r="G34" s="22" t="s">
        <v>72</v>
      </c>
      <c r="H34" s="22" t="s">
        <v>555</v>
      </c>
      <c r="I34" s="22" t="s">
        <v>219</v>
      </c>
      <c r="J34" s="33">
        <v>779</v>
      </c>
      <c r="K34" s="33">
        <v>125</v>
      </c>
      <c r="L34" s="33">
        <v>796</v>
      </c>
      <c r="M34" s="33">
        <v>127</v>
      </c>
      <c r="N34" s="41">
        <v>796</v>
      </c>
      <c r="O34" s="41">
        <v>127</v>
      </c>
      <c r="P34" s="41">
        <v>796</v>
      </c>
      <c r="Q34" s="41">
        <v>127</v>
      </c>
      <c r="R34" s="41">
        <v>796</v>
      </c>
      <c r="S34" s="41">
        <v>127</v>
      </c>
      <c r="T34" s="34">
        <f>(Table1[[#This Row],[30.04.2025 Individus]]-Table1[[#This Row],[31.03.2025 Individus]])/Table1[[#This Row],[31.03.2025 Individus]]</f>
        <v>0</v>
      </c>
      <c r="U34" s="62">
        <f>Table1[[#This Row],[30.04.2025 Individus]]-Table1[[#This Row],[31.03.2025 Individus]]</f>
        <v>0</v>
      </c>
      <c r="V34" s="22" t="str">
        <f>IF(Table1[[#This Row],[Différence]]&lt;0,"Retournés","Déplacés")</f>
        <v>Déplacés</v>
      </c>
      <c r="W34" s="22" t="s">
        <v>591</v>
      </c>
      <c r="X34" s="22" t="s">
        <v>243</v>
      </c>
      <c r="Y34" s="22" t="s">
        <v>244</v>
      </c>
      <c r="Z34" s="22" t="s">
        <v>201</v>
      </c>
      <c r="AA34" s="22" t="s">
        <v>579</v>
      </c>
      <c r="AB34" s="23" t="s">
        <v>201</v>
      </c>
    </row>
    <row r="35" spans="1:28" x14ac:dyDescent="0.3">
      <c r="A35" s="21" t="s">
        <v>58</v>
      </c>
      <c r="B35" s="22" t="s">
        <v>59</v>
      </c>
      <c r="C35" s="22" t="s">
        <v>60</v>
      </c>
      <c r="D35" s="22" t="s">
        <v>61</v>
      </c>
      <c r="E35" s="22" t="s">
        <v>60</v>
      </c>
      <c r="F35" s="22" t="s">
        <v>62</v>
      </c>
      <c r="G35" s="22" t="s">
        <v>65</v>
      </c>
      <c r="H35" s="22" t="s">
        <v>66</v>
      </c>
      <c r="I35" s="22" t="s">
        <v>219</v>
      </c>
      <c r="J35" s="33">
        <v>327</v>
      </c>
      <c r="K35" s="33">
        <v>68</v>
      </c>
      <c r="L35" s="33">
        <v>329</v>
      </c>
      <c r="M35" s="33">
        <v>68</v>
      </c>
      <c r="N35" s="41">
        <v>329</v>
      </c>
      <c r="O35" s="41">
        <v>68</v>
      </c>
      <c r="P35" s="41">
        <v>329</v>
      </c>
      <c r="Q35" s="41">
        <v>68</v>
      </c>
      <c r="R35" s="41">
        <v>329</v>
      </c>
      <c r="S35" s="41">
        <v>68</v>
      </c>
      <c r="T35" s="34">
        <f>(Table1[[#This Row],[30.04.2025 Individus]]-Table1[[#This Row],[31.03.2025 Individus]])/Table1[[#This Row],[31.03.2025 Individus]]</f>
        <v>0</v>
      </c>
      <c r="U35" s="62">
        <f>Table1[[#This Row],[30.04.2025 Individus]]-Table1[[#This Row],[31.03.2025 Individus]]</f>
        <v>0</v>
      </c>
      <c r="V35" s="22" t="str">
        <f>IF(Table1[[#This Row],[Différence]]&lt;0,"Retournés","Déplacés")</f>
        <v>Déplacés</v>
      </c>
      <c r="W35" s="22" t="s">
        <v>591</v>
      </c>
      <c r="X35" s="22" t="s">
        <v>243</v>
      </c>
      <c r="Y35" s="22" t="s">
        <v>243</v>
      </c>
      <c r="Z35" s="22" t="s">
        <v>836</v>
      </c>
      <c r="AA35" s="22" t="s">
        <v>595</v>
      </c>
      <c r="AB35" s="23" t="s">
        <v>225</v>
      </c>
    </row>
    <row r="36" spans="1:28" hidden="1" x14ac:dyDescent="0.3">
      <c r="A36" s="21" t="s">
        <v>58</v>
      </c>
      <c r="B36" s="22" t="s">
        <v>59</v>
      </c>
      <c r="C36" s="22" t="s">
        <v>60</v>
      </c>
      <c r="D36" s="22" t="s">
        <v>61</v>
      </c>
      <c r="E36" s="22" t="s">
        <v>60</v>
      </c>
      <c r="F36" s="22" t="s">
        <v>62</v>
      </c>
      <c r="G36" s="22" t="s">
        <v>70</v>
      </c>
      <c r="H36" s="22" t="s">
        <v>71</v>
      </c>
      <c r="I36" s="22" t="s">
        <v>219</v>
      </c>
      <c r="J36" s="33"/>
      <c r="K36" s="33"/>
      <c r="L36" s="33"/>
      <c r="M36" s="33"/>
      <c r="N36" s="41"/>
      <c r="O36" s="41"/>
      <c r="P36" s="41"/>
      <c r="Q36" s="41"/>
      <c r="R36" s="41"/>
      <c r="S36" s="41"/>
      <c r="T36" s="34" t="e">
        <f>(Table1[[#This Row],[30.04.2025 Individus]]-Table1[[#This Row],[31.03.2025 Individus]])/Table1[[#This Row],[31.03.2025 Individus]]</f>
        <v>#DIV/0!</v>
      </c>
      <c r="U36" s="62">
        <f>Table1[[#This Row],[30.04.2025 Individus]]-Table1[[#This Row],[31.03.2025 Individus]]</f>
        <v>0</v>
      </c>
      <c r="V36" s="22" t="str">
        <f>IF(Table1[[#This Row],[Différence]]&lt;0,"Retournés","Déplacés")</f>
        <v>Déplacés</v>
      </c>
      <c r="W36" s="22" t="s">
        <v>553</v>
      </c>
      <c r="X36" s="22" t="s">
        <v>243</v>
      </c>
      <c r="Y36" s="22" t="s">
        <v>556</v>
      </c>
      <c r="Z36" s="22"/>
      <c r="AA36" s="22" t="s">
        <v>238</v>
      </c>
      <c r="AB36" s="23" t="s">
        <v>201</v>
      </c>
    </row>
    <row r="37" spans="1:28" x14ac:dyDescent="0.3">
      <c r="A37" s="21" t="s">
        <v>58</v>
      </c>
      <c r="B37" s="22" t="s">
        <v>59</v>
      </c>
      <c r="C37" s="22" t="s">
        <v>72</v>
      </c>
      <c r="D37" s="22" t="s">
        <v>73</v>
      </c>
      <c r="E37" s="22" t="s">
        <v>72</v>
      </c>
      <c r="F37" s="22" t="s">
        <v>494</v>
      </c>
      <c r="G37" s="22" t="s">
        <v>72</v>
      </c>
      <c r="H37" s="22" t="s">
        <v>74</v>
      </c>
      <c r="I37" s="22" t="s">
        <v>219</v>
      </c>
      <c r="J37" s="33">
        <v>1902</v>
      </c>
      <c r="K37" s="33">
        <v>471</v>
      </c>
      <c r="L37" s="33">
        <v>1986</v>
      </c>
      <c r="M37" s="33">
        <v>330</v>
      </c>
      <c r="N37" s="41">
        <v>1986</v>
      </c>
      <c r="O37" s="41">
        <v>330</v>
      </c>
      <c r="P37" s="41">
        <v>1986</v>
      </c>
      <c r="Q37" s="41">
        <v>330</v>
      </c>
      <c r="R37" s="41">
        <v>1986</v>
      </c>
      <c r="S37" s="41">
        <v>330</v>
      </c>
      <c r="T37" s="34">
        <f>(Table1[[#This Row],[30.04.2025 Individus]]-Table1[[#This Row],[31.03.2025 Individus]])/Table1[[#This Row],[31.03.2025 Individus]]</f>
        <v>0</v>
      </c>
      <c r="U37" s="62">
        <f>Table1[[#This Row],[30.04.2025 Individus]]-Table1[[#This Row],[31.03.2025 Individus]]</f>
        <v>0</v>
      </c>
      <c r="V37" s="22" t="str">
        <f>IF(Table1[[#This Row],[Différence]]&lt;0,"Retournés","Déplacés")</f>
        <v>Déplacés</v>
      </c>
      <c r="W37" s="22" t="s">
        <v>591</v>
      </c>
      <c r="X37" s="22" t="s">
        <v>243</v>
      </c>
      <c r="Y37" s="22" t="s">
        <v>244</v>
      </c>
      <c r="Z37" s="22" t="s">
        <v>201</v>
      </c>
      <c r="AA37" s="22" t="s">
        <v>579</v>
      </c>
      <c r="AB37" s="23" t="s">
        <v>201</v>
      </c>
    </row>
    <row r="38" spans="1:28" x14ac:dyDescent="0.3">
      <c r="A38" s="21" t="s">
        <v>58</v>
      </c>
      <c r="B38" s="22" t="s">
        <v>59</v>
      </c>
      <c r="C38" s="22" t="s">
        <v>60</v>
      </c>
      <c r="D38" s="22" t="s">
        <v>61</v>
      </c>
      <c r="E38" s="22" t="s">
        <v>60</v>
      </c>
      <c r="F38" s="22" t="s">
        <v>62</v>
      </c>
      <c r="G38" s="22" t="s">
        <v>63</v>
      </c>
      <c r="H38" s="22" t="s">
        <v>64</v>
      </c>
      <c r="I38" s="22" t="s">
        <v>219</v>
      </c>
      <c r="J38" s="33">
        <v>330</v>
      </c>
      <c r="K38" s="33">
        <v>61</v>
      </c>
      <c r="L38" s="33">
        <v>329</v>
      </c>
      <c r="M38" s="33">
        <v>60</v>
      </c>
      <c r="N38" s="41">
        <v>329</v>
      </c>
      <c r="O38" s="41">
        <v>60</v>
      </c>
      <c r="P38" s="41">
        <v>329</v>
      </c>
      <c r="Q38" s="41">
        <v>60</v>
      </c>
      <c r="R38" s="41">
        <v>329</v>
      </c>
      <c r="S38" s="41">
        <v>60</v>
      </c>
      <c r="T38" s="34">
        <f>(Table1[[#This Row],[30.04.2025 Individus]]-Table1[[#This Row],[31.03.2025 Individus]])/Table1[[#This Row],[31.03.2025 Individus]]</f>
        <v>0</v>
      </c>
      <c r="U38" s="62">
        <f>Table1[[#This Row],[30.04.2025 Individus]]-Table1[[#This Row],[31.03.2025 Individus]]</f>
        <v>0</v>
      </c>
      <c r="V38" s="22" t="str">
        <f>IF(Table1[[#This Row],[Différence]]&lt;0,"Retournés","Déplacés")</f>
        <v>Déplacés</v>
      </c>
      <c r="W38" s="22" t="s">
        <v>591</v>
      </c>
      <c r="X38" s="22" t="s">
        <v>243</v>
      </c>
      <c r="Y38" s="22" t="s">
        <v>243</v>
      </c>
      <c r="Z38" s="22" t="s">
        <v>836</v>
      </c>
      <c r="AA38" s="22" t="s">
        <v>592</v>
      </c>
      <c r="AB38" s="23" t="s">
        <v>225</v>
      </c>
    </row>
    <row r="39" spans="1:28" x14ac:dyDescent="0.3">
      <c r="A39" s="21" t="s">
        <v>58</v>
      </c>
      <c r="B39" s="22" t="s">
        <v>59</v>
      </c>
      <c r="C39" s="22" t="s">
        <v>60</v>
      </c>
      <c r="D39" s="22" t="s">
        <v>61</v>
      </c>
      <c r="E39" s="22" t="s">
        <v>60</v>
      </c>
      <c r="F39" s="22" t="s">
        <v>62</v>
      </c>
      <c r="G39" s="22" t="s">
        <v>67</v>
      </c>
      <c r="H39" s="22" t="s">
        <v>68</v>
      </c>
      <c r="I39" s="22" t="s">
        <v>219</v>
      </c>
      <c r="J39" s="33">
        <v>994</v>
      </c>
      <c r="K39" s="33">
        <v>181</v>
      </c>
      <c r="L39" s="33">
        <v>997</v>
      </c>
      <c r="M39" s="33">
        <v>181</v>
      </c>
      <c r="N39" s="41">
        <v>997</v>
      </c>
      <c r="O39" s="41">
        <v>181</v>
      </c>
      <c r="P39" s="41">
        <v>997</v>
      </c>
      <c r="Q39" s="41">
        <v>181</v>
      </c>
      <c r="R39" s="41">
        <v>997</v>
      </c>
      <c r="S39" s="41">
        <v>181</v>
      </c>
      <c r="T39" s="34">
        <f>(Table1[[#This Row],[30.04.2025 Individus]]-Table1[[#This Row],[31.03.2025 Individus]])/Table1[[#This Row],[31.03.2025 Individus]]</f>
        <v>0</v>
      </c>
      <c r="U39" s="62">
        <f>Table1[[#This Row],[30.04.2025 Individus]]-Table1[[#This Row],[31.03.2025 Individus]]</f>
        <v>0</v>
      </c>
      <c r="V39" s="22" t="str">
        <f>IF(Table1[[#This Row],[Différence]]&lt;0,"Retournés","Déplacés")</f>
        <v>Déplacés</v>
      </c>
      <c r="W39" s="22" t="s">
        <v>591</v>
      </c>
      <c r="X39" s="22" t="s">
        <v>243</v>
      </c>
      <c r="Y39" s="22" t="s">
        <v>243</v>
      </c>
      <c r="Z39" s="22" t="s">
        <v>836</v>
      </c>
      <c r="AA39" s="22" t="s">
        <v>593</v>
      </c>
      <c r="AB39" s="23" t="s">
        <v>225</v>
      </c>
    </row>
    <row r="40" spans="1:28" x14ac:dyDescent="0.3">
      <c r="A40" s="21" t="s">
        <v>58</v>
      </c>
      <c r="B40" s="22" t="s">
        <v>59</v>
      </c>
      <c r="C40" s="22" t="s">
        <v>60</v>
      </c>
      <c r="D40" s="22" t="s">
        <v>61</v>
      </c>
      <c r="E40" s="22" t="s">
        <v>60</v>
      </c>
      <c r="F40" s="22" t="s">
        <v>62</v>
      </c>
      <c r="G40" s="22" t="s">
        <v>69</v>
      </c>
      <c r="H40" s="22" t="s">
        <v>43</v>
      </c>
      <c r="I40" s="22" t="s">
        <v>220</v>
      </c>
      <c r="J40" s="33">
        <v>517</v>
      </c>
      <c r="K40" s="33">
        <v>76</v>
      </c>
      <c r="L40" s="33">
        <v>523</v>
      </c>
      <c r="M40" s="33">
        <v>76</v>
      </c>
      <c r="N40" s="41">
        <v>523</v>
      </c>
      <c r="O40" s="41">
        <v>76</v>
      </c>
      <c r="P40" s="41">
        <v>523</v>
      </c>
      <c r="Q40" s="41">
        <v>76</v>
      </c>
      <c r="R40" s="41">
        <v>523</v>
      </c>
      <c r="S40" s="41">
        <v>76</v>
      </c>
      <c r="T40" s="34">
        <f>(Table1[[#This Row],[30.04.2025 Individus]]-Table1[[#This Row],[31.03.2025 Individus]])/Table1[[#This Row],[31.03.2025 Individus]]</f>
        <v>0</v>
      </c>
      <c r="U40" s="62">
        <f>Table1[[#This Row],[30.04.2025 Individus]]-Table1[[#This Row],[31.03.2025 Individus]]</f>
        <v>0</v>
      </c>
      <c r="V40" s="22" t="str">
        <f>IF(Table1[[#This Row],[Différence]]&lt;0,"Retournés","Déplacés")</f>
        <v>Déplacés</v>
      </c>
      <c r="W40" s="22" t="s">
        <v>591</v>
      </c>
      <c r="X40" s="22" t="s">
        <v>243</v>
      </c>
      <c r="Y40" s="22" t="s">
        <v>243</v>
      </c>
      <c r="Z40" s="22" t="s">
        <v>836</v>
      </c>
      <c r="AA40" s="22" t="s">
        <v>594</v>
      </c>
      <c r="AB40" s="23" t="s">
        <v>225</v>
      </c>
    </row>
    <row r="41" spans="1:28" x14ac:dyDescent="0.3">
      <c r="A41" s="72" t="s">
        <v>58</v>
      </c>
      <c r="B41" s="73" t="s">
        <v>59</v>
      </c>
      <c r="C41" s="73" t="s">
        <v>279</v>
      </c>
      <c r="D41" s="73" t="s">
        <v>428</v>
      </c>
      <c r="E41" s="73" t="s">
        <v>279</v>
      </c>
      <c r="F41" s="73" t="s">
        <v>495</v>
      </c>
      <c r="G41" s="22" t="s">
        <v>775</v>
      </c>
      <c r="H41" s="22" t="s">
        <v>775</v>
      </c>
      <c r="I41" s="22" t="s">
        <v>220</v>
      </c>
      <c r="J41" s="33"/>
      <c r="K41" s="33"/>
      <c r="L41" s="33"/>
      <c r="M41" s="33"/>
      <c r="N41" s="41"/>
      <c r="O41" s="41"/>
      <c r="P41" s="74">
        <v>354</v>
      </c>
      <c r="Q41" s="74">
        <v>61</v>
      </c>
      <c r="R41" s="74">
        <v>354</v>
      </c>
      <c r="S41" s="74">
        <v>61</v>
      </c>
      <c r="T41" s="34">
        <f>(Table1[[#This Row],[30.04.2025 Individus]]-Table1[[#This Row],[31.03.2025 Individus]])/Table1[[#This Row],[31.03.2025 Individus]]</f>
        <v>0</v>
      </c>
      <c r="U41" s="62">
        <f>Table1[[#This Row],[30.04.2025 Individus]]-Table1[[#This Row],[31.03.2025 Individus]]</f>
        <v>0</v>
      </c>
      <c r="V41" s="22" t="str">
        <f>IF(Table1[[#This Row],[Différence]]&lt;0,"Retournés","Déplacés")</f>
        <v>Déplacés</v>
      </c>
      <c r="W41" s="22" t="s">
        <v>761</v>
      </c>
      <c r="X41" s="22" t="s">
        <v>244</v>
      </c>
      <c r="Y41" s="22" t="s">
        <v>244</v>
      </c>
      <c r="Z41" s="22" t="s">
        <v>765</v>
      </c>
      <c r="AA41" s="22"/>
      <c r="AB41" s="23" t="s">
        <v>765</v>
      </c>
    </row>
    <row r="42" spans="1:28" x14ac:dyDescent="0.3">
      <c r="A42" s="72" t="s">
        <v>58</v>
      </c>
      <c r="B42" s="73" t="s">
        <v>59</v>
      </c>
      <c r="C42" s="73" t="s">
        <v>279</v>
      </c>
      <c r="D42" s="73" t="s">
        <v>428</v>
      </c>
      <c r="E42" s="73" t="s">
        <v>279</v>
      </c>
      <c r="F42" s="73" t="s">
        <v>495</v>
      </c>
      <c r="G42" s="22" t="s">
        <v>776</v>
      </c>
      <c r="H42" s="22" t="s">
        <v>776</v>
      </c>
      <c r="I42" s="22" t="s">
        <v>220</v>
      </c>
      <c r="J42" s="33"/>
      <c r="K42" s="33"/>
      <c r="L42" s="33"/>
      <c r="M42" s="33"/>
      <c r="N42" s="41"/>
      <c r="O42" s="41"/>
      <c r="P42" s="74">
        <v>423</v>
      </c>
      <c r="Q42" s="74">
        <v>93</v>
      </c>
      <c r="R42" s="74">
        <v>423</v>
      </c>
      <c r="S42" s="74">
        <v>93</v>
      </c>
      <c r="T42" s="34">
        <f>(Table1[[#This Row],[30.04.2025 Individus]]-Table1[[#This Row],[31.03.2025 Individus]])/Table1[[#This Row],[31.03.2025 Individus]]</f>
        <v>0</v>
      </c>
      <c r="U42" s="62">
        <f>Table1[[#This Row],[30.04.2025 Individus]]-Table1[[#This Row],[31.03.2025 Individus]]</f>
        <v>0</v>
      </c>
      <c r="V42" s="22" t="str">
        <f>IF(Table1[[#This Row],[Différence]]&lt;0,"Retournés","Déplacés")</f>
        <v>Déplacés</v>
      </c>
      <c r="W42" s="22" t="s">
        <v>761</v>
      </c>
      <c r="X42" s="22" t="s">
        <v>244</v>
      </c>
      <c r="Y42" s="22" t="s">
        <v>244</v>
      </c>
      <c r="Z42" s="22" t="s">
        <v>765</v>
      </c>
      <c r="AA42" s="22"/>
      <c r="AB42" s="23" t="s">
        <v>765</v>
      </c>
    </row>
    <row r="43" spans="1:28" x14ac:dyDescent="0.3">
      <c r="A43" s="72" t="s">
        <v>58</v>
      </c>
      <c r="B43" s="73" t="s">
        <v>59</v>
      </c>
      <c r="C43" s="73" t="s">
        <v>279</v>
      </c>
      <c r="D43" s="73" t="s">
        <v>428</v>
      </c>
      <c r="E43" s="73" t="s">
        <v>279</v>
      </c>
      <c r="F43" s="73" t="s">
        <v>495</v>
      </c>
      <c r="G43" s="22" t="s">
        <v>777</v>
      </c>
      <c r="H43" s="22" t="s">
        <v>777</v>
      </c>
      <c r="I43" s="22" t="s">
        <v>220</v>
      </c>
      <c r="J43" s="33"/>
      <c r="K43" s="33"/>
      <c r="L43" s="33"/>
      <c r="M43" s="33"/>
      <c r="N43" s="41"/>
      <c r="O43" s="41"/>
      <c r="P43" s="74">
        <v>78</v>
      </c>
      <c r="Q43" s="74">
        <v>38</v>
      </c>
      <c r="R43" s="74">
        <v>78</v>
      </c>
      <c r="S43" s="74">
        <v>38</v>
      </c>
      <c r="T43" s="34">
        <f>(Table1[[#This Row],[30.04.2025 Individus]]-Table1[[#This Row],[31.03.2025 Individus]])/Table1[[#This Row],[31.03.2025 Individus]]</f>
        <v>0</v>
      </c>
      <c r="U43" s="62">
        <f>Table1[[#This Row],[30.04.2025 Individus]]-Table1[[#This Row],[31.03.2025 Individus]]</f>
        <v>0</v>
      </c>
      <c r="V43" s="22" t="str">
        <f>IF(Table1[[#This Row],[Différence]]&lt;0,"Retournés","Déplacés")</f>
        <v>Déplacés</v>
      </c>
      <c r="W43" s="22" t="s">
        <v>761</v>
      </c>
      <c r="X43" s="22" t="s">
        <v>244</v>
      </c>
      <c r="Y43" s="22" t="s">
        <v>244</v>
      </c>
      <c r="Z43" s="22" t="s">
        <v>765</v>
      </c>
      <c r="AA43" s="22"/>
      <c r="AB43" s="23" t="s">
        <v>765</v>
      </c>
    </row>
    <row r="44" spans="1:28" hidden="1" x14ac:dyDescent="0.3">
      <c r="A44" s="21" t="s">
        <v>75</v>
      </c>
      <c r="B44" s="22" t="s">
        <v>76</v>
      </c>
      <c r="C44" s="22" t="s">
        <v>77</v>
      </c>
      <c r="D44" s="22" t="s">
        <v>78</v>
      </c>
      <c r="E44" s="22" t="s">
        <v>77</v>
      </c>
      <c r="F44" s="22" t="s">
        <v>79</v>
      </c>
      <c r="G44" s="22" t="s">
        <v>87</v>
      </c>
      <c r="H44" s="22" t="s">
        <v>88</v>
      </c>
      <c r="I44" s="22" t="s">
        <v>219</v>
      </c>
      <c r="J44" s="33"/>
      <c r="K44" s="33"/>
      <c r="L44" s="33"/>
      <c r="M44" s="33"/>
      <c r="N44" s="41"/>
      <c r="O44" s="41"/>
      <c r="P44" s="41"/>
      <c r="Q44" s="41"/>
      <c r="R44" s="41"/>
      <c r="S44" s="41"/>
      <c r="T44" s="34" t="e">
        <f>(Table1[[#This Row],[30.04.2025 Individus]]-Table1[[#This Row],[31.03.2025 Individus]])/Table1[[#This Row],[31.03.2025 Individus]]</f>
        <v>#DIV/0!</v>
      </c>
      <c r="U44" s="62">
        <f>Table1[[#This Row],[30.04.2025 Individus]]-Table1[[#This Row],[31.03.2025 Individus]]</f>
        <v>0</v>
      </c>
      <c r="V44" s="22" t="str">
        <f>IF(Table1[[#This Row],[Différence]]&lt;0,"Retournés","Déplacés")</f>
        <v>Déplacés</v>
      </c>
      <c r="W44" s="22" t="s">
        <v>221</v>
      </c>
      <c r="X44" s="22" t="s">
        <v>243</v>
      </c>
      <c r="Y44" s="22"/>
      <c r="Z44" s="22"/>
      <c r="AA44" s="22" t="s">
        <v>222</v>
      </c>
      <c r="AB44" s="23" t="s">
        <v>200</v>
      </c>
    </row>
    <row r="45" spans="1:28" x14ac:dyDescent="0.3">
      <c r="A45" s="21" t="s">
        <v>75</v>
      </c>
      <c r="B45" s="22" t="s">
        <v>76</v>
      </c>
      <c r="C45" s="22" t="s">
        <v>77</v>
      </c>
      <c r="D45" s="22" t="s">
        <v>78</v>
      </c>
      <c r="E45" s="22" t="s">
        <v>82</v>
      </c>
      <c r="F45" s="22" t="s">
        <v>83</v>
      </c>
      <c r="G45" s="22" t="s">
        <v>164</v>
      </c>
      <c r="H45" s="22" t="s">
        <v>205</v>
      </c>
      <c r="I45" s="22" t="s">
        <v>219</v>
      </c>
      <c r="J45" s="33">
        <v>144</v>
      </c>
      <c r="K45" s="33">
        <v>32</v>
      </c>
      <c r="L45" s="33">
        <v>141</v>
      </c>
      <c r="M45" s="33">
        <v>32</v>
      </c>
      <c r="N45" s="41">
        <v>141</v>
      </c>
      <c r="O45" s="41">
        <v>32</v>
      </c>
      <c r="P45" s="41">
        <v>141</v>
      </c>
      <c r="Q45" s="41">
        <v>32</v>
      </c>
      <c r="R45" s="41">
        <v>141</v>
      </c>
      <c r="S45" s="41">
        <v>32</v>
      </c>
      <c r="T45" s="34">
        <f>(Table1[[#This Row],[30.04.2025 Individus]]-Table1[[#This Row],[31.03.2025 Individus]])/Table1[[#This Row],[31.03.2025 Individus]]</f>
        <v>0</v>
      </c>
      <c r="U45" s="62">
        <f>Table1[[#This Row],[30.04.2025 Individus]]-Table1[[#This Row],[31.03.2025 Individus]]</f>
        <v>0</v>
      </c>
      <c r="V45" s="22" t="str">
        <f>IF(Table1[[#This Row],[Différence]]&lt;0,"Retournés","Déplacés")</f>
        <v>Déplacés</v>
      </c>
      <c r="W45" s="22" t="s">
        <v>587</v>
      </c>
      <c r="X45" s="22" t="s">
        <v>243</v>
      </c>
      <c r="Y45" s="22" t="s">
        <v>243</v>
      </c>
      <c r="Z45" s="22" t="s">
        <v>836</v>
      </c>
      <c r="AA45" s="22"/>
      <c r="AB45" s="23" t="s">
        <v>200</v>
      </c>
    </row>
    <row r="46" spans="1:28" x14ac:dyDescent="0.3">
      <c r="A46" s="21" t="s">
        <v>75</v>
      </c>
      <c r="B46" s="22" t="s">
        <v>76</v>
      </c>
      <c r="C46" s="22" t="s">
        <v>77</v>
      </c>
      <c r="D46" s="22" t="s">
        <v>78</v>
      </c>
      <c r="E46" s="22" t="s">
        <v>82</v>
      </c>
      <c r="F46" s="22" t="s">
        <v>83</v>
      </c>
      <c r="G46" s="22" t="s">
        <v>84</v>
      </c>
      <c r="H46" s="22" t="s">
        <v>85</v>
      </c>
      <c r="I46" s="22" t="s">
        <v>219</v>
      </c>
      <c r="J46" s="33">
        <v>3996</v>
      </c>
      <c r="K46" s="33">
        <v>971</v>
      </c>
      <c r="L46" s="33">
        <v>4164</v>
      </c>
      <c r="M46" s="33">
        <v>991</v>
      </c>
      <c r="N46" s="41">
        <v>4164</v>
      </c>
      <c r="O46" s="41">
        <v>991</v>
      </c>
      <c r="P46" s="41">
        <v>4164</v>
      </c>
      <c r="Q46" s="41">
        <v>991</v>
      </c>
      <c r="R46" s="41">
        <v>4164</v>
      </c>
      <c r="S46" s="41">
        <v>991</v>
      </c>
      <c r="T46" s="34">
        <f>(Table1[[#This Row],[30.04.2025 Individus]]-Table1[[#This Row],[31.03.2025 Individus]])/Table1[[#This Row],[31.03.2025 Individus]]</f>
        <v>0</v>
      </c>
      <c r="U46" s="62">
        <f>Table1[[#This Row],[30.04.2025 Individus]]-Table1[[#This Row],[31.03.2025 Individus]]</f>
        <v>0</v>
      </c>
      <c r="V46" s="22" t="str">
        <f>IF(Table1[[#This Row],[Différence]]&lt;0,"Retournés","Déplacés")</f>
        <v>Déplacés</v>
      </c>
      <c r="W46" s="22" t="s">
        <v>591</v>
      </c>
      <c r="X46" s="22" t="s">
        <v>243</v>
      </c>
      <c r="Y46" s="22" t="s">
        <v>244</v>
      </c>
      <c r="Z46" s="22" t="s">
        <v>765</v>
      </c>
      <c r="AA46" s="22" t="s">
        <v>596</v>
      </c>
      <c r="AB46" s="23" t="s">
        <v>197</v>
      </c>
    </row>
    <row r="47" spans="1:28" x14ac:dyDescent="0.3">
      <c r="A47" s="21" t="s">
        <v>75</v>
      </c>
      <c r="B47" s="22" t="s">
        <v>76</v>
      </c>
      <c r="C47" s="22" t="s">
        <v>77</v>
      </c>
      <c r="D47" s="22" t="s">
        <v>78</v>
      </c>
      <c r="E47" s="22" t="s">
        <v>82</v>
      </c>
      <c r="F47" s="22" t="s">
        <v>83</v>
      </c>
      <c r="G47" s="22" t="s">
        <v>164</v>
      </c>
      <c r="H47" s="22" t="s">
        <v>165</v>
      </c>
      <c r="I47" s="22" t="s">
        <v>219</v>
      </c>
      <c r="J47" s="33">
        <v>179</v>
      </c>
      <c r="K47" s="33">
        <v>35</v>
      </c>
      <c r="L47" s="33">
        <v>179</v>
      </c>
      <c r="M47" s="33">
        <v>35</v>
      </c>
      <c r="N47" s="41">
        <v>179</v>
      </c>
      <c r="O47" s="41">
        <v>35</v>
      </c>
      <c r="P47" s="41">
        <v>179</v>
      </c>
      <c r="Q47" s="41">
        <v>35</v>
      </c>
      <c r="R47" s="41">
        <v>179</v>
      </c>
      <c r="S47" s="41">
        <v>35</v>
      </c>
      <c r="T47" s="34">
        <f>(Table1[[#This Row],[30.04.2025 Individus]]-Table1[[#This Row],[31.03.2025 Individus]])/Table1[[#This Row],[31.03.2025 Individus]]</f>
        <v>0</v>
      </c>
      <c r="U47" s="62">
        <f>Table1[[#This Row],[30.04.2025 Individus]]-Table1[[#This Row],[31.03.2025 Individus]]</f>
        <v>0</v>
      </c>
      <c r="V47" s="22" t="str">
        <f>IF(Table1[[#This Row],[Différence]]&lt;0,"Retournés","Déplacés")</f>
        <v>Déplacés</v>
      </c>
      <c r="W47" s="22" t="s">
        <v>587</v>
      </c>
      <c r="X47" s="22" t="s">
        <v>243</v>
      </c>
      <c r="Y47" s="22" t="s">
        <v>244</v>
      </c>
      <c r="Z47" s="22" t="s">
        <v>765</v>
      </c>
      <c r="AA47" s="22"/>
      <c r="AB47" s="23" t="s">
        <v>200</v>
      </c>
    </row>
    <row r="48" spans="1:28" x14ac:dyDescent="0.3">
      <c r="A48" s="21" t="s">
        <v>75</v>
      </c>
      <c r="B48" s="22" t="s">
        <v>76</v>
      </c>
      <c r="C48" s="22" t="s">
        <v>77</v>
      </c>
      <c r="D48" s="22" t="s">
        <v>78</v>
      </c>
      <c r="E48" s="22" t="s">
        <v>77</v>
      </c>
      <c r="F48" s="22" t="s">
        <v>79</v>
      </c>
      <c r="G48" s="22" t="s">
        <v>90</v>
      </c>
      <c r="H48" s="22" t="s">
        <v>95</v>
      </c>
      <c r="I48" s="22" t="s">
        <v>219</v>
      </c>
      <c r="J48" s="33">
        <v>112</v>
      </c>
      <c r="K48" s="33">
        <v>26</v>
      </c>
      <c r="L48" s="33">
        <v>112</v>
      </c>
      <c r="M48" s="33">
        <v>26</v>
      </c>
      <c r="N48" s="41">
        <v>112</v>
      </c>
      <c r="O48" s="41">
        <v>26</v>
      </c>
      <c r="P48" s="41">
        <v>112</v>
      </c>
      <c r="Q48" s="41">
        <v>26</v>
      </c>
      <c r="R48" s="41">
        <v>112</v>
      </c>
      <c r="S48" s="41">
        <v>26</v>
      </c>
      <c r="T48" s="34">
        <f>(Table1[[#This Row],[30.04.2025 Individus]]-Table1[[#This Row],[31.03.2025 Individus]])/Table1[[#This Row],[31.03.2025 Individus]]</f>
        <v>0</v>
      </c>
      <c r="U48" s="62">
        <f>Table1[[#This Row],[30.04.2025 Individus]]-Table1[[#This Row],[31.03.2025 Individus]]</f>
        <v>0</v>
      </c>
      <c r="V48" s="22" t="str">
        <f>IF(Table1[[#This Row],[Différence]]&lt;0,"Retournés","Déplacés")</f>
        <v>Déplacés</v>
      </c>
      <c r="W48" s="22" t="s">
        <v>587</v>
      </c>
      <c r="X48" s="22" t="s">
        <v>243</v>
      </c>
      <c r="Y48" s="22" t="s">
        <v>244</v>
      </c>
      <c r="Z48" s="22" t="s">
        <v>765</v>
      </c>
      <c r="AA48" s="22"/>
      <c r="AB48" s="23" t="s">
        <v>200</v>
      </c>
    </row>
    <row r="49" spans="1:28" x14ac:dyDescent="0.3">
      <c r="A49" s="21" t="s">
        <v>75</v>
      </c>
      <c r="B49" s="22" t="s">
        <v>76</v>
      </c>
      <c r="C49" s="22" t="s">
        <v>77</v>
      </c>
      <c r="D49" s="22" t="s">
        <v>78</v>
      </c>
      <c r="E49" s="22" t="s">
        <v>82</v>
      </c>
      <c r="F49" s="22" t="s">
        <v>83</v>
      </c>
      <c r="G49" s="22" t="s">
        <v>86</v>
      </c>
      <c r="H49" s="22" t="s">
        <v>86</v>
      </c>
      <c r="I49" s="22" t="s">
        <v>219</v>
      </c>
      <c r="J49" s="33">
        <v>1408</v>
      </c>
      <c r="K49" s="33">
        <v>371</v>
      </c>
      <c r="L49" s="33">
        <v>1403</v>
      </c>
      <c r="M49" s="33">
        <v>371</v>
      </c>
      <c r="N49" s="41">
        <v>1403</v>
      </c>
      <c r="O49" s="41">
        <v>371</v>
      </c>
      <c r="P49" s="41">
        <v>1403</v>
      </c>
      <c r="Q49" s="41">
        <v>371</v>
      </c>
      <c r="R49" s="41">
        <v>1403</v>
      </c>
      <c r="S49" s="41">
        <v>371</v>
      </c>
      <c r="T49" s="34">
        <f>(Table1[[#This Row],[30.04.2025 Individus]]-Table1[[#This Row],[31.03.2025 Individus]])/Table1[[#This Row],[31.03.2025 Individus]]</f>
        <v>0</v>
      </c>
      <c r="U49" s="62">
        <f>Table1[[#This Row],[30.04.2025 Individus]]-Table1[[#This Row],[31.03.2025 Individus]]</f>
        <v>0</v>
      </c>
      <c r="V49" s="22" t="str">
        <f>IF(Table1[[#This Row],[Différence]]&lt;0,"Retournés","Déplacés")</f>
        <v>Déplacés</v>
      </c>
      <c r="W49" s="22" t="s">
        <v>591</v>
      </c>
      <c r="X49" s="22" t="s">
        <v>243</v>
      </c>
      <c r="Y49" s="22" t="s">
        <v>244</v>
      </c>
      <c r="Z49" s="22" t="s">
        <v>765</v>
      </c>
      <c r="AA49" s="22" t="s">
        <v>596</v>
      </c>
      <c r="AB49" s="23" t="s">
        <v>197</v>
      </c>
    </row>
    <row r="50" spans="1:28" hidden="1" x14ac:dyDescent="0.3">
      <c r="A50" s="21" t="s">
        <v>75</v>
      </c>
      <c r="B50" s="22" t="s">
        <v>76</v>
      </c>
      <c r="C50" s="22" t="s">
        <v>77</v>
      </c>
      <c r="D50" s="22" t="s">
        <v>78</v>
      </c>
      <c r="E50" s="22" t="s">
        <v>77</v>
      </c>
      <c r="F50" s="22" t="s">
        <v>79</v>
      </c>
      <c r="G50" s="22" t="s">
        <v>80</v>
      </c>
      <c r="H50" s="22" t="s">
        <v>81</v>
      </c>
      <c r="I50" s="22" t="s">
        <v>219</v>
      </c>
      <c r="J50" s="33"/>
      <c r="K50" s="33"/>
      <c r="L50" s="33"/>
      <c r="M50" s="33"/>
      <c r="N50" s="41"/>
      <c r="O50" s="41"/>
      <c r="P50" s="41"/>
      <c r="Q50" s="41"/>
      <c r="R50" s="41"/>
      <c r="S50" s="41"/>
      <c r="T50" s="34" t="e">
        <f>(Table1[[#This Row],[30.04.2025 Individus]]-Table1[[#This Row],[31.03.2025 Individus]])/Table1[[#This Row],[31.03.2025 Individus]]</f>
        <v>#DIV/0!</v>
      </c>
      <c r="U50" s="62">
        <f>Table1[[#This Row],[30.04.2025 Individus]]-Table1[[#This Row],[31.03.2025 Individus]]</f>
        <v>0</v>
      </c>
      <c r="V50" s="22" t="str">
        <f>IF(Table1[[#This Row],[Différence]]&lt;0,"Retournés","Déplacés")</f>
        <v>Déplacés</v>
      </c>
      <c r="W50" s="22" t="s">
        <v>565</v>
      </c>
      <c r="X50" s="22" t="s">
        <v>243</v>
      </c>
      <c r="Y50" s="22"/>
      <c r="Z50" s="22"/>
      <c r="AA50" s="22" t="s">
        <v>567</v>
      </c>
      <c r="AB50" s="23" t="s">
        <v>200</v>
      </c>
    </row>
    <row r="51" spans="1:28" x14ac:dyDescent="0.3">
      <c r="A51" s="21" t="s">
        <v>75</v>
      </c>
      <c r="B51" s="22" t="s">
        <v>76</v>
      </c>
      <c r="C51" s="22" t="s">
        <v>77</v>
      </c>
      <c r="D51" s="22" t="s">
        <v>78</v>
      </c>
      <c r="E51" s="22" t="s">
        <v>77</v>
      </c>
      <c r="F51" s="22" t="s">
        <v>79</v>
      </c>
      <c r="G51" s="22" t="s">
        <v>90</v>
      </c>
      <c r="H51" s="22" t="s">
        <v>92</v>
      </c>
      <c r="I51" s="22" t="s">
        <v>219</v>
      </c>
      <c r="J51" s="33">
        <v>144</v>
      </c>
      <c r="K51" s="33">
        <v>28</v>
      </c>
      <c r="L51" s="33">
        <v>144</v>
      </c>
      <c r="M51" s="33">
        <v>28</v>
      </c>
      <c r="N51" s="41">
        <v>144</v>
      </c>
      <c r="O51" s="41">
        <v>28</v>
      </c>
      <c r="P51" s="41">
        <v>144</v>
      </c>
      <c r="Q51" s="41">
        <v>28</v>
      </c>
      <c r="R51" s="41">
        <v>144</v>
      </c>
      <c r="S51" s="41">
        <v>28</v>
      </c>
      <c r="T51" s="34">
        <f>(Table1[[#This Row],[30.04.2025 Individus]]-Table1[[#This Row],[31.03.2025 Individus]])/Table1[[#This Row],[31.03.2025 Individus]]</f>
        <v>0</v>
      </c>
      <c r="U51" s="62">
        <f>Table1[[#This Row],[30.04.2025 Individus]]-Table1[[#This Row],[31.03.2025 Individus]]</f>
        <v>0</v>
      </c>
      <c r="V51" s="22" t="str">
        <f>IF(Table1[[#This Row],[Différence]]&lt;0,"Retournés","Déplacés")</f>
        <v>Déplacés</v>
      </c>
      <c r="W51" s="22" t="s">
        <v>587</v>
      </c>
      <c r="X51" s="22" t="s">
        <v>243</v>
      </c>
      <c r="Y51" s="22" t="s">
        <v>243</v>
      </c>
      <c r="Z51" s="22" t="s">
        <v>836</v>
      </c>
      <c r="AA51" s="22"/>
      <c r="AB51" s="23" t="s">
        <v>200</v>
      </c>
    </row>
    <row r="52" spans="1:28" x14ac:dyDescent="0.3">
      <c r="A52" s="21" t="s">
        <v>75</v>
      </c>
      <c r="B52" s="22" t="s">
        <v>76</v>
      </c>
      <c r="C52" s="22" t="s">
        <v>77</v>
      </c>
      <c r="D52" s="22" t="s">
        <v>78</v>
      </c>
      <c r="E52" s="22" t="s">
        <v>77</v>
      </c>
      <c r="F52" s="22" t="s">
        <v>79</v>
      </c>
      <c r="G52" s="22" t="s">
        <v>90</v>
      </c>
      <c r="H52" s="22" t="s">
        <v>91</v>
      </c>
      <c r="I52" s="22" t="s">
        <v>219</v>
      </c>
      <c r="J52" s="33">
        <v>207</v>
      </c>
      <c r="K52" s="33">
        <v>44</v>
      </c>
      <c r="L52" s="33">
        <v>205</v>
      </c>
      <c r="M52" s="33">
        <v>43</v>
      </c>
      <c r="N52" s="41">
        <v>205</v>
      </c>
      <c r="O52" s="41">
        <v>43</v>
      </c>
      <c r="P52" s="41">
        <v>205</v>
      </c>
      <c r="Q52" s="41">
        <v>43</v>
      </c>
      <c r="R52" s="41">
        <v>205</v>
      </c>
      <c r="S52" s="41">
        <v>43</v>
      </c>
      <c r="T52" s="34">
        <f>(Table1[[#This Row],[30.04.2025 Individus]]-Table1[[#This Row],[31.03.2025 Individus]])/Table1[[#This Row],[31.03.2025 Individus]]</f>
        <v>0</v>
      </c>
      <c r="U52" s="62">
        <f>Table1[[#This Row],[30.04.2025 Individus]]-Table1[[#This Row],[31.03.2025 Individus]]</f>
        <v>0</v>
      </c>
      <c r="V52" s="22" t="str">
        <f>IF(Table1[[#This Row],[Différence]]&lt;0,"Retournés","Déplacés")</f>
        <v>Déplacés</v>
      </c>
      <c r="W52" s="22" t="s">
        <v>591</v>
      </c>
      <c r="X52" s="22" t="s">
        <v>243</v>
      </c>
      <c r="Y52" s="22" t="s">
        <v>244</v>
      </c>
      <c r="Z52" s="22" t="s">
        <v>765</v>
      </c>
      <c r="AA52" s="22" t="s">
        <v>596</v>
      </c>
      <c r="AB52" s="23" t="s">
        <v>197</v>
      </c>
    </row>
    <row r="53" spans="1:28" x14ac:dyDescent="0.3">
      <c r="A53" s="21" t="s">
        <v>75</v>
      </c>
      <c r="B53" s="22" t="s">
        <v>76</v>
      </c>
      <c r="C53" s="22" t="s">
        <v>77</v>
      </c>
      <c r="D53" s="22" t="s">
        <v>78</v>
      </c>
      <c r="E53" s="22" t="s">
        <v>77</v>
      </c>
      <c r="F53" s="22" t="s">
        <v>79</v>
      </c>
      <c r="G53" s="22" t="s">
        <v>90</v>
      </c>
      <c r="H53" s="22" t="s">
        <v>94</v>
      </c>
      <c r="I53" s="22" t="s">
        <v>219</v>
      </c>
      <c r="J53" s="33">
        <v>202</v>
      </c>
      <c r="K53" s="33">
        <v>48</v>
      </c>
      <c r="L53" s="33">
        <v>201</v>
      </c>
      <c r="M53" s="33">
        <v>48</v>
      </c>
      <c r="N53" s="41">
        <v>201</v>
      </c>
      <c r="O53" s="41">
        <v>48</v>
      </c>
      <c r="P53" s="41">
        <v>201</v>
      </c>
      <c r="Q53" s="41">
        <v>48</v>
      </c>
      <c r="R53" s="41">
        <v>201</v>
      </c>
      <c r="S53" s="41">
        <v>48</v>
      </c>
      <c r="T53" s="34">
        <f>(Table1[[#This Row],[30.04.2025 Individus]]-Table1[[#This Row],[31.03.2025 Individus]])/Table1[[#This Row],[31.03.2025 Individus]]</f>
        <v>0</v>
      </c>
      <c r="U53" s="62">
        <f>Table1[[#This Row],[30.04.2025 Individus]]-Table1[[#This Row],[31.03.2025 Individus]]</f>
        <v>0</v>
      </c>
      <c r="V53" s="22" t="str">
        <f>IF(Table1[[#This Row],[Différence]]&lt;0,"Retournés","Déplacés")</f>
        <v>Déplacés</v>
      </c>
      <c r="W53" s="22" t="s">
        <v>591</v>
      </c>
      <c r="X53" s="22" t="s">
        <v>243</v>
      </c>
      <c r="Y53" s="22" t="s">
        <v>244</v>
      </c>
      <c r="Z53" s="22" t="s">
        <v>765</v>
      </c>
      <c r="AA53" s="22" t="s">
        <v>596</v>
      </c>
      <c r="AB53" s="23" t="s">
        <v>197</v>
      </c>
    </row>
    <row r="54" spans="1:28" x14ac:dyDescent="0.3">
      <c r="A54" s="21" t="s">
        <v>75</v>
      </c>
      <c r="B54" s="22" t="s">
        <v>76</v>
      </c>
      <c r="C54" s="22" t="s">
        <v>77</v>
      </c>
      <c r="D54" s="22" t="s">
        <v>78</v>
      </c>
      <c r="E54" s="22" t="s">
        <v>77</v>
      </c>
      <c r="F54" s="22" t="s">
        <v>79</v>
      </c>
      <c r="G54" s="22" t="s">
        <v>90</v>
      </c>
      <c r="H54" s="22" t="s">
        <v>93</v>
      </c>
      <c r="I54" s="22" t="s">
        <v>219</v>
      </c>
      <c r="J54" s="33">
        <v>190</v>
      </c>
      <c r="K54" s="33">
        <v>50</v>
      </c>
      <c r="L54" s="33">
        <v>189</v>
      </c>
      <c r="M54" s="33">
        <v>50</v>
      </c>
      <c r="N54" s="41">
        <v>189</v>
      </c>
      <c r="O54" s="41">
        <v>50</v>
      </c>
      <c r="P54" s="41">
        <v>189</v>
      </c>
      <c r="Q54" s="41">
        <v>50</v>
      </c>
      <c r="R54" s="41">
        <v>189</v>
      </c>
      <c r="S54" s="41">
        <v>50</v>
      </c>
      <c r="T54" s="34">
        <f>(Table1[[#This Row],[30.04.2025 Individus]]-Table1[[#This Row],[31.03.2025 Individus]])/Table1[[#This Row],[31.03.2025 Individus]]</f>
        <v>0</v>
      </c>
      <c r="U54" s="62">
        <f>Table1[[#This Row],[30.04.2025 Individus]]-Table1[[#This Row],[31.03.2025 Individus]]</f>
        <v>0</v>
      </c>
      <c r="V54" s="22" t="str">
        <f>IF(Table1[[#This Row],[Différence]]&lt;0,"Retournés","Déplacés")</f>
        <v>Déplacés</v>
      </c>
      <c r="W54" s="22" t="s">
        <v>591</v>
      </c>
      <c r="X54" s="22" t="s">
        <v>243</v>
      </c>
      <c r="Y54" s="22" t="s">
        <v>244</v>
      </c>
      <c r="Z54" s="22" t="s">
        <v>765</v>
      </c>
      <c r="AA54" s="22" t="s">
        <v>596</v>
      </c>
      <c r="AB54" s="23" t="s">
        <v>197</v>
      </c>
    </row>
    <row r="55" spans="1:28" x14ac:dyDescent="0.3">
      <c r="A55" s="21" t="s">
        <v>13</v>
      </c>
      <c r="B55" s="22" t="s">
        <v>14</v>
      </c>
      <c r="C55" s="22" t="s">
        <v>599</v>
      </c>
      <c r="D55" s="22" t="s">
        <v>600</v>
      </c>
      <c r="E55" s="22" t="s">
        <v>98</v>
      </c>
      <c r="F55" s="22" t="s">
        <v>619</v>
      </c>
      <c r="G55" s="22" t="s">
        <v>98</v>
      </c>
      <c r="H55" s="46" t="s">
        <v>214</v>
      </c>
      <c r="I55" s="22" t="s">
        <v>219</v>
      </c>
      <c r="J55" s="33">
        <v>1218</v>
      </c>
      <c r="K55" s="33">
        <v>214</v>
      </c>
      <c r="L55" s="33">
        <v>1218</v>
      </c>
      <c r="M55" s="33">
        <v>214</v>
      </c>
      <c r="N55" s="41">
        <v>1218</v>
      </c>
      <c r="O55" s="41">
        <v>214</v>
      </c>
      <c r="P55" s="41">
        <v>57</v>
      </c>
      <c r="Q55" s="41">
        <v>25</v>
      </c>
      <c r="R55" s="41">
        <v>57</v>
      </c>
      <c r="S55" s="41">
        <v>25</v>
      </c>
      <c r="T55" s="34">
        <f>(Table1[[#This Row],[30.04.2025 Individus]]-Table1[[#This Row],[31.03.2025 Individus]])/Table1[[#This Row],[31.03.2025 Individus]]</f>
        <v>0</v>
      </c>
      <c r="U55" s="62">
        <f>Table1[[#This Row],[30.04.2025 Individus]]-Table1[[#This Row],[31.03.2025 Individus]]</f>
        <v>0</v>
      </c>
      <c r="V55" s="22" t="str">
        <f>IF(Table1[[#This Row],[Différence]]&lt;0,"Retournés","Déplacés")</f>
        <v>Déplacés</v>
      </c>
      <c r="W55" s="22" t="s">
        <v>761</v>
      </c>
      <c r="X55" s="22" t="s">
        <v>244</v>
      </c>
      <c r="Y55" s="22" t="s">
        <v>243</v>
      </c>
      <c r="Z55" s="37" t="s">
        <v>836</v>
      </c>
      <c r="AA55" s="37" t="s">
        <v>779</v>
      </c>
      <c r="AB55" s="76" t="s">
        <v>780</v>
      </c>
    </row>
    <row r="56" spans="1:28" hidden="1" x14ac:dyDescent="0.3">
      <c r="A56" s="21" t="s">
        <v>13</v>
      </c>
      <c r="B56" s="22" t="s">
        <v>14</v>
      </c>
      <c r="C56" s="22" t="s">
        <v>599</v>
      </c>
      <c r="D56" s="22" t="s">
        <v>600</v>
      </c>
      <c r="E56" s="22" t="s">
        <v>98</v>
      </c>
      <c r="F56" s="22" t="s">
        <v>619</v>
      </c>
      <c r="G56" s="22" t="s">
        <v>101</v>
      </c>
      <c r="H56" s="22" t="s">
        <v>102</v>
      </c>
      <c r="I56" s="22" t="s">
        <v>219</v>
      </c>
      <c r="J56" s="33"/>
      <c r="K56" s="33"/>
      <c r="L56" s="33"/>
      <c r="M56" s="33"/>
      <c r="N56" s="41"/>
      <c r="O56" s="41"/>
      <c r="P56" s="41"/>
      <c r="Q56" s="41"/>
      <c r="R56" s="41"/>
      <c r="S56" s="41"/>
      <c r="T56" s="34" t="e">
        <f>(Table1[[#This Row],[30.04.2025 Individus]]-Table1[[#This Row],[31.03.2025 Individus]])/Table1[[#This Row],[31.03.2025 Individus]]</f>
        <v>#DIV/0!</v>
      </c>
      <c r="U56" s="62">
        <f>Table1[[#This Row],[30.04.2025 Individus]]-Table1[[#This Row],[31.03.2025 Individus]]</f>
        <v>0</v>
      </c>
      <c r="V56" s="22" t="str">
        <f>IF(Table1[[#This Row],[Différence]]&lt;0,"Retournés","Déplacés")</f>
        <v>Déplacés</v>
      </c>
      <c r="W56" s="22" t="s">
        <v>557</v>
      </c>
      <c r="X56" s="22" t="s">
        <v>243</v>
      </c>
      <c r="Y56" s="22"/>
      <c r="Z56" s="22"/>
      <c r="AA56" s="22" t="s">
        <v>236</v>
      </c>
      <c r="AB56" s="23" t="s">
        <v>197</v>
      </c>
    </row>
    <row r="57" spans="1:28" hidden="1" x14ac:dyDescent="0.3">
      <c r="A57" s="21" t="s">
        <v>13</v>
      </c>
      <c r="B57" s="22" t="s">
        <v>14</v>
      </c>
      <c r="C57" s="22" t="s">
        <v>599</v>
      </c>
      <c r="D57" s="22" t="s">
        <v>600</v>
      </c>
      <c r="E57" s="22" t="s">
        <v>98</v>
      </c>
      <c r="F57" s="22" t="s">
        <v>619</v>
      </c>
      <c r="G57" s="22" t="s">
        <v>98</v>
      </c>
      <c r="H57" s="22" t="s">
        <v>213</v>
      </c>
      <c r="I57" s="22" t="s">
        <v>219</v>
      </c>
      <c r="J57" s="33"/>
      <c r="K57" s="33"/>
      <c r="L57" s="33"/>
      <c r="M57" s="33"/>
      <c r="N57" s="41"/>
      <c r="O57" s="41"/>
      <c r="P57" s="41"/>
      <c r="Q57" s="41"/>
      <c r="R57" s="41"/>
      <c r="S57" s="41"/>
      <c r="T57" s="34" t="e">
        <f>(Table1[[#This Row],[30.04.2025 Individus]]-Table1[[#This Row],[31.03.2025 Individus]])/Table1[[#This Row],[31.03.2025 Individus]]</f>
        <v>#DIV/0!</v>
      </c>
      <c r="U57" s="62">
        <f>Table1[[#This Row],[30.04.2025 Individus]]-Table1[[#This Row],[31.03.2025 Individus]]</f>
        <v>0</v>
      </c>
      <c r="V57" s="22" t="str">
        <f>IF(Table1[[#This Row],[Différence]]&lt;0,"Retournés","Déplacés")</f>
        <v>Déplacés</v>
      </c>
      <c r="W57" s="22" t="s">
        <v>221</v>
      </c>
      <c r="X57" s="22" t="s">
        <v>243</v>
      </c>
      <c r="Y57" s="22"/>
      <c r="Z57" s="22"/>
      <c r="AA57" s="22" t="s">
        <v>222</v>
      </c>
      <c r="AB57" s="23" t="s">
        <v>202</v>
      </c>
    </row>
    <row r="58" spans="1:28" hidden="1" x14ac:dyDescent="0.3">
      <c r="A58" s="21" t="s">
        <v>13</v>
      </c>
      <c r="B58" s="22" t="s">
        <v>14</v>
      </c>
      <c r="C58" s="22" t="s">
        <v>599</v>
      </c>
      <c r="D58" s="22" t="s">
        <v>600</v>
      </c>
      <c r="E58" s="22" t="s">
        <v>98</v>
      </c>
      <c r="F58" s="22" t="s">
        <v>619</v>
      </c>
      <c r="G58" s="22" t="s">
        <v>99</v>
      </c>
      <c r="H58" s="22" t="s">
        <v>100</v>
      </c>
      <c r="I58" s="22" t="s">
        <v>219</v>
      </c>
      <c r="J58" s="33"/>
      <c r="K58" s="33"/>
      <c r="L58" s="33"/>
      <c r="M58" s="33"/>
      <c r="N58" s="41"/>
      <c r="O58" s="41"/>
      <c r="P58" s="41"/>
      <c r="Q58" s="41"/>
      <c r="R58" s="41"/>
      <c r="S58" s="41"/>
      <c r="T58" s="34" t="e">
        <f>(Table1[[#This Row],[30.04.2025 Individus]]-Table1[[#This Row],[31.03.2025 Individus]])/Table1[[#This Row],[31.03.2025 Individus]]</f>
        <v>#DIV/0!</v>
      </c>
      <c r="U58" s="62">
        <f>Table1[[#This Row],[30.04.2025 Individus]]-Table1[[#This Row],[31.03.2025 Individus]]</f>
        <v>0</v>
      </c>
      <c r="V58" s="22" t="str">
        <f>IF(Table1[[#This Row],[Différence]]&lt;0,"Retournés","Déplacés")</f>
        <v>Déplacés</v>
      </c>
      <c r="W58" s="22" t="s">
        <v>227</v>
      </c>
      <c r="X58" s="22" t="s">
        <v>243</v>
      </c>
      <c r="Y58" s="22"/>
      <c r="Z58" s="22"/>
      <c r="AA58" s="22" t="s">
        <v>230</v>
      </c>
      <c r="AB58" s="23" t="s">
        <v>198</v>
      </c>
    </row>
    <row r="59" spans="1:28" x14ac:dyDescent="0.3">
      <c r="A59" s="21" t="s">
        <v>13</v>
      </c>
      <c r="B59" s="22" t="s">
        <v>14</v>
      </c>
      <c r="C59" s="22" t="s">
        <v>599</v>
      </c>
      <c r="D59" s="22" t="s">
        <v>600</v>
      </c>
      <c r="E59" s="22" t="s">
        <v>98</v>
      </c>
      <c r="F59" s="22" t="s">
        <v>619</v>
      </c>
      <c r="G59" s="22" t="s">
        <v>98</v>
      </c>
      <c r="H59" s="22" t="s">
        <v>581</v>
      </c>
      <c r="I59" s="22" t="s">
        <v>220</v>
      </c>
      <c r="J59" s="33">
        <v>882</v>
      </c>
      <c r="K59" s="33">
        <v>147</v>
      </c>
      <c r="L59" s="33">
        <v>882</v>
      </c>
      <c r="M59" s="33">
        <v>147</v>
      </c>
      <c r="N59" s="41">
        <v>882</v>
      </c>
      <c r="O59" s="41">
        <v>147</v>
      </c>
      <c r="P59" s="41">
        <v>24</v>
      </c>
      <c r="Q59" s="41">
        <v>6</v>
      </c>
      <c r="R59" s="41">
        <v>24</v>
      </c>
      <c r="S59" s="41">
        <v>6</v>
      </c>
      <c r="T59" s="34">
        <f>(Table1[[#This Row],[30.04.2025 Individus]]-Table1[[#This Row],[31.03.2025 Individus]])/Table1[[#This Row],[31.03.2025 Individus]]</f>
        <v>0</v>
      </c>
      <c r="U59" s="62">
        <f>Table1[[#This Row],[30.04.2025 Individus]]-Table1[[#This Row],[31.03.2025 Individus]]</f>
        <v>0</v>
      </c>
      <c r="V59" s="22" t="str">
        <f>IF(Table1[[#This Row],[Différence]]&lt;0,"Retournés","Déplacés")</f>
        <v>Déplacés</v>
      </c>
      <c r="W59" s="22" t="s">
        <v>761</v>
      </c>
      <c r="X59" s="22" t="s">
        <v>244</v>
      </c>
      <c r="Y59" s="22" t="s">
        <v>243</v>
      </c>
      <c r="Z59" s="22" t="s">
        <v>836</v>
      </c>
      <c r="AA59" s="37" t="s">
        <v>779</v>
      </c>
      <c r="AB59" s="76" t="s">
        <v>780</v>
      </c>
    </row>
    <row r="60" spans="1:28" x14ac:dyDescent="0.3">
      <c r="A60" s="21" t="s">
        <v>103</v>
      </c>
      <c r="B60" s="22" t="s">
        <v>104</v>
      </c>
      <c r="C60" s="22" t="s">
        <v>108</v>
      </c>
      <c r="D60" s="22" t="s">
        <v>109</v>
      </c>
      <c r="E60" s="22" t="s">
        <v>108</v>
      </c>
      <c r="F60" s="22" t="s">
        <v>110</v>
      </c>
      <c r="G60" s="22" t="s">
        <v>108</v>
      </c>
      <c r="H60" s="22" t="s">
        <v>111</v>
      </c>
      <c r="I60" s="22" t="s">
        <v>219</v>
      </c>
      <c r="J60" s="33">
        <v>3668</v>
      </c>
      <c r="K60" s="33">
        <v>792</v>
      </c>
      <c r="L60" s="33">
        <v>3668</v>
      </c>
      <c r="M60" s="33">
        <v>792</v>
      </c>
      <c r="N60" s="41">
        <v>3668</v>
      </c>
      <c r="O60" s="41">
        <v>792</v>
      </c>
      <c r="P60" s="41">
        <v>3668</v>
      </c>
      <c r="Q60" s="41">
        <v>792</v>
      </c>
      <c r="R60" s="41">
        <v>3668</v>
      </c>
      <c r="S60" s="41">
        <v>792</v>
      </c>
      <c r="T60" s="34">
        <f>(Table1[[#This Row],[30.04.2025 Individus]]-Table1[[#This Row],[31.03.2025 Individus]])/Table1[[#This Row],[31.03.2025 Individus]]</f>
        <v>0</v>
      </c>
      <c r="U60" s="62">
        <f>Table1[[#This Row],[30.04.2025 Individus]]-Table1[[#This Row],[31.03.2025 Individus]]</f>
        <v>0</v>
      </c>
      <c r="V60" s="22" t="str">
        <f>IF(Table1[[#This Row],[Différence]]&lt;0,"Retournés","Déplacés")</f>
        <v>Déplacés</v>
      </c>
      <c r="W60" s="22" t="s">
        <v>828</v>
      </c>
      <c r="X60" s="22" t="s">
        <v>244</v>
      </c>
      <c r="Y60" s="22" t="s">
        <v>244</v>
      </c>
      <c r="Z60" s="22" t="s">
        <v>765</v>
      </c>
      <c r="AA60" s="22" t="s">
        <v>561</v>
      </c>
      <c r="AB60" s="23" t="s">
        <v>765</v>
      </c>
    </row>
    <row r="61" spans="1:28" x14ac:dyDescent="0.3">
      <c r="A61" s="21" t="s">
        <v>103</v>
      </c>
      <c r="B61" s="22" t="s">
        <v>104</v>
      </c>
      <c r="C61" s="22" t="s">
        <v>129</v>
      </c>
      <c r="D61" s="22" t="s">
        <v>130</v>
      </c>
      <c r="E61" s="22" t="s">
        <v>129</v>
      </c>
      <c r="F61" s="22" t="s">
        <v>206</v>
      </c>
      <c r="G61" s="22" t="s">
        <v>129</v>
      </c>
      <c r="H61" s="22" t="s">
        <v>133</v>
      </c>
      <c r="I61" s="22" t="s">
        <v>219</v>
      </c>
      <c r="J61" s="33">
        <v>1151</v>
      </c>
      <c r="K61" s="33">
        <v>135</v>
      </c>
      <c r="L61" s="33">
        <v>1230</v>
      </c>
      <c r="M61" s="33">
        <v>205</v>
      </c>
      <c r="N61" s="41">
        <v>1230</v>
      </c>
      <c r="O61" s="41">
        <v>205</v>
      </c>
      <c r="P61" s="41">
        <v>1230</v>
      </c>
      <c r="Q61" s="41">
        <v>205</v>
      </c>
      <c r="R61" s="41">
        <v>1230</v>
      </c>
      <c r="S61" s="41">
        <v>205</v>
      </c>
      <c r="T61" s="34">
        <f>(Table1[[#This Row],[30.04.2025 Individus]]-Table1[[#This Row],[31.03.2025 Individus]])/Table1[[#This Row],[31.03.2025 Individus]]</f>
        <v>0</v>
      </c>
      <c r="U61" s="62">
        <f>Table1[[#This Row],[30.04.2025 Individus]]-Table1[[#This Row],[31.03.2025 Individus]]</f>
        <v>0</v>
      </c>
      <c r="V61" s="22" t="str">
        <f>IF(Table1[[#This Row],[Différence]]&lt;0,"Retournés","Déplacés")</f>
        <v>Déplacés</v>
      </c>
      <c r="W61" s="22" t="s">
        <v>591</v>
      </c>
      <c r="X61" s="22" t="s">
        <v>243</v>
      </c>
      <c r="Y61" s="22" t="s">
        <v>243</v>
      </c>
      <c r="Z61" s="22" t="s">
        <v>836</v>
      </c>
      <c r="AA61" s="22" t="s">
        <v>596</v>
      </c>
      <c r="AB61" s="23" t="s">
        <v>197</v>
      </c>
    </row>
    <row r="62" spans="1:28" hidden="1" x14ac:dyDescent="0.3">
      <c r="A62" s="21" t="s">
        <v>103</v>
      </c>
      <c r="B62" s="22" t="s">
        <v>104</v>
      </c>
      <c r="C62" s="22" t="s">
        <v>119</v>
      </c>
      <c r="D62" s="22" t="s">
        <v>120</v>
      </c>
      <c r="E62" s="22" t="s">
        <v>112</v>
      </c>
      <c r="F62" s="22" t="s">
        <v>121</v>
      </c>
      <c r="G62" s="22" t="s">
        <v>122</v>
      </c>
      <c r="H62" s="22" t="s">
        <v>123</v>
      </c>
      <c r="I62" s="22" t="s">
        <v>219</v>
      </c>
      <c r="J62" s="33"/>
      <c r="K62" s="33"/>
      <c r="L62" s="33"/>
      <c r="M62" s="33"/>
      <c r="N62" s="41"/>
      <c r="O62" s="41"/>
      <c r="P62" s="41"/>
      <c r="Q62" s="41"/>
      <c r="R62" s="41"/>
      <c r="S62" s="41"/>
      <c r="T62" s="34" t="e">
        <f>(Table1[[#This Row],[30.04.2025 Individus]]-Table1[[#This Row],[31.03.2025 Individus]])/Table1[[#This Row],[31.03.2025 Individus]]</f>
        <v>#DIV/0!</v>
      </c>
      <c r="U62" s="62">
        <f>Table1[[#This Row],[30.04.2025 Individus]]-Table1[[#This Row],[31.03.2025 Individus]]</f>
        <v>0</v>
      </c>
      <c r="V62" s="22" t="str">
        <f>IF(Table1[[#This Row],[Différence]]&lt;0,"Retournés","Déplacés")</f>
        <v>Déplacés</v>
      </c>
      <c r="W62" s="22" t="s">
        <v>559</v>
      </c>
      <c r="X62" s="22" t="s">
        <v>243</v>
      </c>
      <c r="Y62" s="22" t="s">
        <v>200</v>
      </c>
      <c r="Z62" s="22"/>
      <c r="AA62" s="22" t="s">
        <v>575</v>
      </c>
      <c r="AB62" s="23" t="s">
        <v>200</v>
      </c>
    </row>
    <row r="63" spans="1:28" x14ac:dyDescent="0.3">
      <c r="A63" s="21" t="s">
        <v>103</v>
      </c>
      <c r="B63" s="22" t="s">
        <v>104</v>
      </c>
      <c r="C63" s="22" t="s">
        <v>129</v>
      </c>
      <c r="D63" s="22" t="s">
        <v>130</v>
      </c>
      <c r="E63" s="22" t="s">
        <v>129</v>
      </c>
      <c r="F63" s="22" t="s">
        <v>206</v>
      </c>
      <c r="G63" s="22" t="s">
        <v>129</v>
      </c>
      <c r="H63" s="22" t="s">
        <v>132</v>
      </c>
      <c r="I63" s="22" t="s">
        <v>219</v>
      </c>
      <c r="J63" s="33">
        <v>1133</v>
      </c>
      <c r="K63" s="33">
        <v>305</v>
      </c>
      <c r="L63" s="33">
        <v>1133</v>
      </c>
      <c r="M63" s="33">
        <v>305</v>
      </c>
      <c r="N63" s="41">
        <v>1133</v>
      </c>
      <c r="O63" s="41">
        <v>305</v>
      </c>
      <c r="P63" s="41">
        <v>1133</v>
      </c>
      <c r="Q63" s="41">
        <v>305</v>
      </c>
      <c r="R63" s="41">
        <v>1133</v>
      </c>
      <c r="S63" s="41">
        <v>305</v>
      </c>
      <c r="T63" s="34">
        <f>(Table1[[#This Row],[30.04.2025 Individus]]-Table1[[#This Row],[31.03.2025 Individus]])/Table1[[#This Row],[31.03.2025 Individus]]</f>
        <v>0</v>
      </c>
      <c r="U63" s="62">
        <f>Table1[[#This Row],[30.04.2025 Individus]]-Table1[[#This Row],[31.03.2025 Individus]]</f>
        <v>0</v>
      </c>
      <c r="V63" s="22" t="str">
        <f>IF(Table1[[#This Row],[Différence]]&lt;0,"Retournés","Déplacés")</f>
        <v>Déplacés</v>
      </c>
      <c r="W63" s="22" t="s">
        <v>591</v>
      </c>
      <c r="X63" s="22" t="s">
        <v>243</v>
      </c>
      <c r="Y63" s="22" t="s">
        <v>243</v>
      </c>
      <c r="Z63" s="22" t="s">
        <v>836</v>
      </c>
      <c r="AA63" s="22" t="s">
        <v>596</v>
      </c>
      <c r="AB63" s="23" t="s">
        <v>197</v>
      </c>
    </row>
    <row r="64" spans="1:28" hidden="1" x14ac:dyDescent="0.3">
      <c r="A64" s="21" t="s">
        <v>103</v>
      </c>
      <c r="B64" s="22" t="s">
        <v>104</v>
      </c>
      <c r="C64" s="22" t="s">
        <v>108</v>
      </c>
      <c r="D64" s="22" t="s">
        <v>109</v>
      </c>
      <c r="E64" s="22" t="s">
        <v>124</v>
      </c>
      <c r="F64" s="22" t="s">
        <v>125</v>
      </c>
      <c r="G64" s="22" t="s">
        <v>126</v>
      </c>
      <c r="H64" s="22" t="s">
        <v>226</v>
      </c>
      <c r="I64" s="22" t="s">
        <v>219</v>
      </c>
      <c r="J64" s="33"/>
      <c r="K64" s="33"/>
      <c r="L64" s="33"/>
      <c r="M64" s="33"/>
      <c r="N64" s="41"/>
      <c r="O64" s="41"/>
      <c r="P64" s="41"/>
      <c r="Q64" s="41"/>
      <c r="R64" s="41"/>
      <c r="S64" s="41"/>
      <c r="T64" s="34" t="e">
        <f>(Table1[[#This Row],[30.04.2025 Individus]]-Table1[[#This Row],[31.03.2025 Individus]])/Table1[[#This Row],[31.03.2025 Individus]]</f>
        <v>#DIV/0!</v>
      </c>
      <c r="U64" s="62">
        <f>Table1[[#This Row],[30.04.2025 Individus]]-Table1[[#This Row],[31.03.2025 Individus]]</f>
        <v>0</v>
      </c>
      <c r="V64" s="22" t="str">
        <f>IF(Table1[[#This Row],[Différence]]&lt;0,"Retournés","Déplacés")</f>
        <v>Déplacés</v>
      </c>
      <c r="W64" s="22" t="s">
        <v>234</v>
      </c>
      <c r="X64" s="22" t="s">
        <v>243</v>
      </c>
      <c r="Y64" s="22"/>
      <c r="Z64" s="22"/>
      <c r="AA64" s="22" t="s">
        <v>566</v>
      </c>
      <c r="AB64" s="23"/>
    </row>
    <row r="65" spans="1:28" x14ac:dyDescent="0.3">
      <c r="A65" s="21" t="s">
        <v>103</v>
      </c>
      <c r="B65" s="22" t="s">
        <v>104</v>
      </c>
      <c r="C65" s="22" t="s">
        <v>108</v>
      </c>
      <c r="D65" s="22" t="s">
        <v>109</v>
      </c>
      <c r="E65" s="22" t="s">
        <v>115</v>
      </c>
      <c r="F65" s="22" t="s">
        <v>116</v>
      </c>
      <c r="G65" s="22" t="s">
        <v>117</v>
      </c>
      <c r="H65" s="22" t="s">
        <v>118</v>
      </c>
      <c r="I65" s="22" t="s">
        <v>219</v>
      </c>
      <c r="J65" s="33">
        <v>1156</v>
      </c>
      <c r="K65" s="33">
        <v>266</v>
      </c>
      <c r="L65" s="33">
        <v>1156</v>
      </c>
      <c r="M65" s="33">
        <v>266</v>
      </c>
      <c r="N65" s="41">
        <v>1156</v>
      </c>
      <c r="O65" s="41">
        <v>266</v>
      </c>
      <c r="P65" s="41">
        <v>1156</v>
      </c>
      <c r="Q65" s="41">
        <v>266</v>
      </c>
      <c r="R65" s="41">
        <v>1156</v>
      </c>
      <c r="S65" s="41">
        <v>266</v>
      </c>
      <c r="T65" s="34">
        <f>(Table1[[#This Row],[30.04.2025 Individus]]-Table1[[#This Row],[31.03.2025 Individus]])/Table1[[#This Row],[31.03.2025 Individus]]</f>
        <v>0</v>
      </c>
      <c r="U65" s="62">
        <f>Table1[[#This Row],[30.04.2025 Individus]]-Table1[[#This Row],[31.03.2025 Individus]]</f>
        <v>0</v>
      </c>
      <c r="V65" s="22" t="str">
        <f>IF(Table1[[#This Row],[Différence]]&lt;0,"Retournés","Déplacés")</f>
        <v>Déplacés</v>
      </c>
      <c r="W65" s="22" t="s">
        <v>828</v>
      </c>
      <c r="X65" s="22" t="s">
        <v>244</v>
      </c>
      <c r="Y65" s="22" t="s">
        <v>244</v>
      </c>
      <c r="Z65" s="22" t="s">
        <v>765</v>
      </c>
      <c r="AA65" s="22" t="s">
        <v>588</v>
      </c>
      <c r="AB65" s="23" t="s">
        <v>765</v>
      </c>
    </row>
    <row r="66" spans="1:28" x14ac:dyDescent="0.3">
      <c r="A66" s="21" t="s">
        <v>103</v>
      </c>
      <c r="B66" s="22" t="s">
        <v>104</v>
      </c>
      <c r="C66" s="22" t="s">
        <v>108</v>
      </c>
      <c r="D66" s="22" t="s">
        <v>109</v>
      </c>
      <c r="E66" s="22" t="s">
        <v>115</v>
      </c>
      <c r="F66" s="22" t="s">
        <v>116</v>
      </c>
      <c r="G66" s="22" t="s">
        <v>113</v>
      </c>
      <c r="H66" s="22" t="s">
        <v>113</v>
      </c>
      <c r="I66" s="22" t="s">
        <v>219</v>
      </c>
      <c r="J66" s="33">
        <f>1272-9</f>
        <v>1263</v>
      </c>
      <c r="K66" s="33">
        <v>241</v>
      </c>
      <c r="L66" s="33">
        <f>1272-9</f>
        <v>1263</v>
      </c>
      <c r="M66" s="33">
        <v>241</v>
      </c>
      <c r="N66" s="41">
        <f>1272-9</f>
        <v>1263</v>
      </c>
      <c r="O66" s="41">
        <v>241</v>
      </c>
      <c r="P66" s="41">
        <f>1272-9</f>
        <v>1263</v>
      </c>
      <c r="Q66" s="41">
        <v>241</v>
      </c>
      <c r="R66" s="41">
        <f>1272-9</f>
        <v>1263</v>
      </c>
      <c r="S66" s="41">
        <v>241</v>
      </c>
      <c r="T66" s="34">
        <f>(Table1[[#This Row],[30.04.2025 Individus]]-Table1[[#This Row],[31.03.2025 Individus]])/Table1[[#This Row],[31.03.2025 Individus]]</f>
        <v>0</v>
      </c>
      <c r="U66" s="62">
        <f>Table1[[#This Row],[30.04.2025 Individus]]-Table1[[#This Row],[31.03.2025 Individus]]</f>
        <v>0</v>
      </c>
      <c r="V66" s="22" t="str">
        <f>IF(Table1[[#This Row],[Différence]]&lt;0,"Retournés","Déplacés")</f>
        <v>Déplacés</v>
      </c>
      <c r="W66" s="22" t="s">
        <v>577</v>
      </c>
      <c r="X66" s="22" t="s">
        <v>243</v>
      </c>
      <c r="Y66" s="22" t="s">
        <v>243</v>
      </c>
      <c r="Z66" s="22" t="s">
        <v>836</v>
      </c>
      <c r="AA66" s="22" t="s">
        <v>230</v>
      </c>
      <c r="AB66" s="23" t="s">
        <v>560</v>
      </c>
    </row>
    <row r="67" spans="1:28" x14ac:dyDescent="0.3">
      <c r="A67" s="21" t="s">
        <v>103</v>
      </c>
      <c r="B67" s="22" t="s">
        <v>104</v>
      </c>
      <c r="C67" s="22" t="s">
        <v>108</v>
      </c>
      <c r="D67" s="22" t="s">
        <v>109</v>
      </c>
      <c r="E67" s="22" t="s">
        <v>108</v>
      </c>
      <c r="F67" s="22" t="s">
        <v>110</v>
      </c>
      <c r="G67" s="22"/>
      <c r="H67" s="22" t="s">
        <v>128</v>
      </c>
      <c r="I67" s="22" t="s">
        <v>220</v>
      </c>
      <c r="J67" s="33">
        <v>510</v>
      </c>
      <c r="K67" s="33">
        <v>102</v>
      </c>
      <c r="L67" s="33">
        <v>510</v>
      </c>
      <c r="M67" s="33">
        <v>107</v>
      </c>
      <c r="N67" s="41">
        <v>510</v>
      </c>
      <c r="O67" s="41">
        <v>107</v>
      </c>
      <c r="P67" s="41">
        <v>510</v>
      </c>
      <c r="Q67" s="41">
        <v>107</v>
      </c>
      <c r="R67" s="41">
        <v>510</v>
      </c>
      <c r="S67" s="41">
        <v>107</v>
      </c>
      <c r="T67" s="34">
        <f>(Table1[[#This Row],[30.04.2025 Individus]]-Table1[[#This Row],[31.03.2025 Individus]])/Table1[[#This Row],[31.03.2025 Individus]]</f>
        <v>0</v>
      </c>
      <c r="U67" s="62">
        <f>Table1[[#This Row],[30.04.2025 Individus]]-Table1[[#This Row],[31.03.2025 Individus]]</f>
        <v>0</v>
      </c>
      <c r="V67" s="22" t="str">
        <f>IF(Table1[[#This Row],[Différence]]&lt;0,"Retournés","Déplacés")</f>
        <v>Déplacés</v>
      </c>
      <c r="W67" s="22" t="s">
        <v>591</v>
      </c>
      <c r="X67" s="22" t="s">
        <v>243</v>
      </c>
      <c r="Y67" s="22" t="s">
        <v>243</v>
      </c>
      <c r="Z67" s="22" t="s">
        <v>836</v>
      </c>
      <c r="AA67" s="22" t="s">
        <v>596</v>
      </c>
      <c r="AB67" s="23" t="s">
        <v>197</v>
      </c>
    </row>
    <row r="68" spans="1:28" x14ac:dyDescent="0.3">
      <c r="A68" s="21" t="s">
        <v>103</v>
      </c>
      <c r="B68" s="22" t="s">
        <v>104</v>
      </c>
      <c r="C68" s="22" t="s">
        <v>105</v>
      </c>
      <c r="D68" s="22" t="s">
        <v>106</v>
      </c>
      <c r="E68" s="22" t="s">
        <v>363</v>
      </c>
      <c r="F68" s="22" t="s">
        <v>525</v>
      </c>
      <c r="G68" s="22" t="s">
        <v>105</v>
      </c>
      <c r="H68" s="22" t="s">
        <v>107</v>
      </c>
      <c r="I68" s="22" t="s">
        <v>219</v>
      </c>
      <c r="J68" s="33">
        <v>150</v>
      </c>
      <c r="K68" s="33">
        <v>35</v>
      </c>
      <c r="L68" s="33">
        <v>150</v>
      </c>
      <c r="M68" s="33">
        <v>35</v>
      </c>
      <c r="N68" s="41">
        <v>150</v>
      </c>
      <c r="O68" s="41">
        <v>35</v>
      </c>
      <c r="P68" s="41">
        <v>150</v>
      </c>
      <c r="Q68" s="41">
        <v>35</v>
      </c>
      <c r="R68" s="41">
        <v>150</v>
      </c>
      <c r="S68" s="41">
        <v>35</v>
      </c>
      <c r="T68" s="34">
        <f>(Table1[[#This Row],[30.04.2025 Individus]]-Table1[[#This Row],[31.03.2025 Individus]])/Table1[[#This Row],[31.03.2025 Individus]]</f>
        <v>0</v>
      </c>
      <c r="U68" s="62">
        <f>Table1[[#This Row],[30.04.2025 Individus]]-Table1[[#This Row],[31.03.2025 Individus]]</f>
        <v>0</v>
      </c>
      <c r="V68" s="22" t="str">
        <f>IF(Table1[[#This Row],[Différence]]&lt;0,"Retournés","Déplacés")</f>
        <v>Déplacés</v>
      </c>
      <c r="W68" s="22" t="s">
        <v>828</v>
      </c>
      <c r="X68" s="22" t="s">
        <v>244</v>
      </c>
      <c r="Y68" s="22" t="s">
        <v>244</v>
      </c>
      <c r="Z68" s="22" t="s">
        <v>765</v>
      </c>
      <c r="AA68" s="22"/>
      <c r="AB68" s="23" t="s">
        <v>765</v>
      </c>
    </row>
    <row r="69" spans="1:28" x14ac:dyDescent="0.3">
      <c r="A69" s="21" t="s">
        <v>103</v>
      </c>
      <c r="B69" s="22" t="s">
        <v>104</v>
      </c>
      <c r="C69" s="22" t="s">
        <v>108</v>
      </c>
      <c r="D69" s="22" t="s">
        <v>109</v>
      </c>
      <c r="E69" s="22" t="s">
        <v>108</v>
      </c>
      <c r="F69" s="22" t="s">
        <v>110</v>
      </c>
      <c r="G69" s="22" t="s">
        <v>108</v>
      </c>
      <c r="H69" s="22" t="s">
        <v>114</v>
      </c>
      <c r="I69" s="22" t="s">
        <v>219</v>
      </c>
      <c r="J69" s="33">
        <v>662</v>
      </c>
      <c r="K69" s="33">
        <v>168</v>
      </c>
      <c r="L69" s="33">
        <v>662</v>
      </c>
      <c r="M69" s="33">
        <v>168</v>
      </c>
      <c r="N69" s="41">
        <v>662</v>
      </c>
      <c r="O69" s="41">
        <v>168</v>
      </c>
      <c r="P69" s="41">
        <v>662</v>
      </c>
      <c r="Q69" s="41">
        <v>168</v>
      </c>
      <c r="R69" s="41">
        <v>662</v>
      </c>
      <c r="S69" s="41">
        <v>168</v>
      </c>
      <c r="T69" s="34">
        <f>(Table1[[#This Row],[30.04.2025 Individus]]-Table1[[#This Row],[31.03.2025 Individus]])/Table1[[#This Row],[31.03.2025 Individus]]</f>
        <v>0</v>
      </c>
      <c r="U69" s="62">
        <f>Table1[[#This Row],[30.04.2025 Individus]]-Table1[[#This Row],[31.03.2025 Individus]]</f>
        <v>0</v>
      </c>
      <c r="V69" s="22" t="str">
        <f>IF(Table1[[#This Row],[Différence]]&lt;0,"Retournés","Déplacés")</f>
        <v>Déplacés</v>
      </c>
      <c r="W69" s="22" t="s">
        <v>828</v>
      </c>
      <c r="X69" s="22" t="s">
        <v>244</v>
      </c>
      <c r="Y69" s="22" t="s">
        <v>244</v>
      </c>
      <c r="Z69" s="22" t="s">
        <v>765</v>
      </c>
      <c r="AA69" s="22"/>
      <c r="AB69" s="23" t="s">
        <v>765</v>
      </c>
    </row>
    <row r="70" spans="1:28" x14ac:dyDescent="0.3">
      <c r="A70" s="21" t="s">
        <v>103</v>
      </c>
      <c r="B70" s="22" t="s">
        <v>104</v>
      </c>
      <c r="C70" s="22" t="s">
        <v>108</v>
      </c>
      <c r="D70" s="22" t="s">
        <v>109</v>
      </c>
      <c r="E70" s="22" t="s">
        <v>108</v>
      </c>
      <c r="F70" s="22" t="s">
        <v>110</v>
      </c>
      <c r="G70" s="22" t="s">
        <v>217</v>
      </c>
      <c r="H70" s="22" t="s">
        <v>218</v>
      </c>
      <c r="I70" s="22" t="s">
        <v>219</v>
      </c>
      <c r="J70" s="33">
        <v>775</v>
      </c>
      <c r="K70" s="33">
        <v>198</v>
      </c>
      <c r="L70" s="33">
        <v>760</v>
      </c>
      <c r="M70" s="33">
        <v>185</v>
      </c>
      <c r="N70" s="41">
        <v>760</v>
      </c>
      <c r="O70" s="41">
        <v>185</v>
      </c>
      <c r="P70" s="41">
        <v>760</v>
      </c>
      <c r="Q70" s="41">
        <v>185</v>
      </c>
      <c r="R70" s="41">
        <v>760</v>
      </c>
      <c r="S70" s="41">
        <v>185</v>
      </c>
      <c r="T70" s="34">
        <f>(Table1[[#This Row],[30.04.2025 Individus]]-Table1[[#This Row],[31.03.2025 Individus]])/Table1[[#This Row],[31.03.2025 Individus]]</f>
        <v>0</v>
      </c>
      <c r="U70" s="62">
        <f>Table1[[#This Row],[30.04.2025 Individus]]-Table1[[#This Row],[31.03.2025 Individus]]</f>
        <v>0</v>
      </c>
      <c r="V70" s="22" t="str">
        <f>IF(Table1[[#This Row],[Différence]]&lt;0,"Retournés","Déplacés")</f>
        <v>Déplacés</v>
      </c>
      <c r="W70" s="22" t="s">
        <v>591</v>
      </c>
      <c r="X70" s="22" t="s">
        <v>243</v>
      </c>
      <c r="Y70" s="22" t="s">
        <v>243</v>
      </c>
      <c r="Z70" s="22" t="s">
        <v>836</v>
      </c>
      <c r="AA70" s="22" t="s">
        <v>596</v>
      </c>
      <c r="AB70" s="23" t="s">
        <v>197</v>
      </c>
    </row>
    <row r="71" spans="1:28" x14ac:dyDescent="0.3">
      <c r="A71" s="21" t="s">
        <v>103</v>
      </c>
      <c r="B71" s="22" t="s">
        <v>104</v>
      </c>
      <c r="C71" s="22" t="s">
        <v>108</v>
      </c>
      <c r="D71" s="22" t="s">
        <v>109</v>
      </c>
      <c r="E71" s="22" t="s">
        <v>124</v>
      </c>
      <c r="F71" s="22" t="s">
        <v>125</v>
      </c>
      <c r="G71" s="22" t="s">
        <v>108</v>
      </c>
      <c r="H71" s="22" t="s">
        <v>127</v>
      </c>
      <c r="I71" s="22" t="s">
        <v>219</v>
      </c>
      <c r="J71" s="33">
        <v>913</v>
      </c>
      <c r="K71" s="33">
        <v>182</v>
      </c>
      <c r="L71" s="33">
        <v>913</v>
      </c>
      <c r="M71" s="33">
        <v>182</v>
      </c>
      <c r="N71" s="41">
        <v>913</v>
      </c>
      <c r="O71" s="41">
        <v>182</v>
      </c>
      <c r="P71" s="41">
        <v>913</v>
      </c>
      <c r="Q71" s="41">
        <v>182</v>
      </c>
      <c r="R71" s="41">
        <v>913</v>
      </c>
      <c r="S71" s="41">
        <v>182</v>
      </c>
      <c r="T71" s="34">
        <f>(Table1[[#This Row],[30.04.2025 Individus]]-Table1[[#This Row],[31.03.2025 Individus]])/Table1[[#This Row],[31.03.2025 Individus]]</f>
        <v>0</v>
      </c>
      <c r="U71" s="62">
        <f>Table1[[#This Row],[30.04.2025 Individus]]-Table1[[#This Row],[31.03.2025 Individus]]</f>
        <v>0</v>
      </c>
      <c r="V71" s="22" t="str">
        <f>IF(Table1[[#This Row],[Différence]]&lt;0,"Retournés","Déplacés")</f>
        <v>Déplacés</v>
      </c>
      <c r="W71" s="22" t="s">
        <v>577</v>
      </c>
      <c r="X71" s="22" t="s">
        <v>243</v>
      </c>
      <c r="Y71" s="22" t="s">
        <v>243</v>
      </c>
      <c r="Z71" s="22" t="s">
        <v>836</v>
      </c>
      <c r="AA71" s="22"/>
      <c r="AB71" s="23"/>
    </row>
    <row r="72" spans="1:28" hidden="1" x14ac:dyDescent="0.3">
      <c r="A72" s="21" t="s">
        <v>103</v>
      </c>
      <c r="B72" s="22" t="s">
        <v>104</v>
      </c>
      <c r="C72" s="22" t="s">
        <v>129</v>
      </c>
      <c r="D72" s="22" t="s">
        <v>130</v>
      </c>
      <c r="E72" s="22" t="s">
        <v>129</v>
      </c>
      <c r="F72" s="22" t="s">
        <v>206</v>
      </c>
      <c r="G72" s="22" t="s">
        <v>129</v>
      </c>
      <c r="H72" s="22" t="s">
        <v>131</v>
      </c>
      <c r="I72" s="22" t="s">
        <v>219</v>
      </c>
      <c r="J72" s="33"/>
      <c r="K72" s="33"/>
      <c r="L72" s="33"/>
      <c r="M72" s="33"/>
      <c r="N72" s="41"/>
      <c r="O72" s="41"/>
      <c r="P72" s="41"/>
      <c r="Q72" s="41"/>
      <c r="R72" s="41"/>
      <c r="S72" s="41"/>
      <c r="T72" s="34" t="e">
        <f>(Table1[[#This Row],[30.04.2025 Individus]]-Table1[[#This Row],[31.03.2025 Individus]])/Table1[[#This Row],[31.03.2025 Individus]]</f>
        <v>#DIV/0!</v>
      </c>
      <c r="U72" s="62">
        <f>Table1[[#This Row],[30.04.2025 Individus]]-Table1[[#This Row],[31.03.2025 Individus]]</f>
        <v>0</v>
      </c>
      <c r="V72" s="22" t="str">
        <f>IF(Table1[[#This Row],[Différence]]&lt;0,"Retournés","Déplacés")</f>
        <v>Déplacés</v>
      </c>
      <c r="W72" s="22" t="s">
        <v>559</v>
      </c>
      <c r="X72" s="22" t="s">
        <v>243</v>
      </c>
      <c r="Y72" s="22"/>
      <c r="Z72" s="22"/>
      <c r="AA72" s="22" t="s">
        <v>568</v>
      </c>
      <c r="AB72" s="23" t="s">
        <v>200</v>
      </c>
    </row>
    <row r="73" spans="1:28" x14ac:dyDescent="0.3">
      <c r="A73" s="21" t="s">
        <v>597</v>
      </c>
      <c r="B73" s="22" t="s">
        <v>598</v>
      </c>
      <c r="C73" s="22" t="s">
        <v>136</v>
      </c>
      <c r="D73" s="22" t="s">
        <v>601</v>
      </c>
      <c r="E73" s="22" t="s">
        <v>136</v>
      </c>
      <c r="F73" s="22" t="s">
        <v>620</v>
      </c>
      <c r="G73" s="22" t="s">
        <v>136</v>
      </c>
      <c r="H73" s="22" t="s">
        <v>138</v>
      </c>
      <c r="I73" s="22" t="s">
        <v>219</v>
      </c>
      <c r="J73" s="33">
        <v>416</v>
      </c>
      <c r="K73" s="33">
        <v>97</v>
      </c>
      <c r="L73" s="33">
        <v>418</v>
      </c>
      <c r="M73" s="33">
        <v>97</v>
      </c>
      <c r="N73" s="41">
        <v>418</v>
      </c>
      <c r="O73" s="41">
        <v>97</v>
      </c>
      <c r="P73" s="41">
        <v>418</v>
      </c>
      <c r="Q73" s="41">
        <v>97</v>
      </c>
      <c r="R73" s="41">
        <v>418</v>
      </c>
      <c r="S73" s="41">
        <v>97</v>
      </c>
      <c r="T73" s="34">
        <f>(Table1[[#This Row],[30.04.2025 Individus]]-Table1[[#This Row],[31.03.2025 Individus]])/Table1[[#This Row],[31.03.2025 Individus]]</f>
        <v>0</v>
      </c>
      <c r="U73" s="62">
        <f>Table1[[#This Row],[30.04.2025 Individus]]-Table1[[#This Row],[31.03.2025 Individus]]</f>
        <v>0</v>
      </c>
      <c r="V73" s="22" t="str">
        <f>IF(Table1[[#This Row],[Différence]]&lt;0,"Retournés","Déplacés")</f>
        <v>Déplacés</v>
      </c>
      <c r="W73" s="22" t="s">
        <v>591</v>
      </c>
      <c r="X73" s="22" t="s">
        <v>243</v>
      </c>
      <c r="Y73" s="22" t="s">
        <v>244</v>
      </c>
      <c r="Z73" s="22" t="s">
        <v>200</v>
      </c>
      <c r="AA73" s="22" t="s">
        <v>596</v>
      </c>
      <c r="AB73" s="23" t="s">
        <v>197</v>
      </c>
    </row>
    <row r="74" spans="1:28" x14ac:dyDescent="0.3">
      <c r="A74" s="21" t="s">
        <v>597</v>
      </c>
      <c r="B74" s="22" t="s">
        <v>598</v>
      </c>
      <c r="C74" s="22" t="s">
        <v>140</v>
      </c>
      <c r="D74" s="22" t="s">
        <v>602</v>
      </c>
      <c r="E74" s="22" t="s">
        <v>141</v>
      </c>
      <c r="F74" s="22" t="s">
        <v>617</v>
      </c>
      <c r="G74" s="22" t="s">
        <v>151</v>
      </c>
      <c r="H74" s="22" t="s">
        <v>151</v>
      </c>
      <c r="I74" s="22" t="s">
        <v>219</v>
      </c>
      <c r="J74" s="33">
        <v>2</v>
      </c>
      <c r="K74" s="33">
        <v>2</v>
      </c>
      <c r="L74" s="33">
        <v>2</v>
      </c>
      <c r="M74" s="33">
        <v>2</v>
      </c>
      <c r="N74" s="41">
        <v>2</v>
      </c>
      <c r="O74" s="41">
        <v>2</v>
      </c>
      <c r="P74" s="41">
        <v>2</v>
      </c>
      <c r="Q74" s="41">
        <v>2</v>
      </c>
      <c r="R74" s="41">
        <v>2</v>
      </c>
      <c r="S74" s="41">
        <v>2</v>
      </c>
      <c r="T74" s="34">
        <f>(Table1[[#This Row],[30.04.2025 Individus]]-Table1[[#This Row],[31.03.2025 Individus]])/Table1[[#This Row],[31.03.2025 Individus]]</f>
        <v>0</v>
      </c>
      <c r="U74" s="62">
        <f>Table1[[#This Row],[30.04.2025 Individus]]-Table1[[#This Row],[31.03.2025 Individus]]</f>
        <v>0</v>
      </c>
      <c r="V74" s="22" t="str">
        <f>IF(Table1[[#This Row],[Différence]]&lt;0,"Retournés","Déplacés")</f>
        <v>Déplacés</v>
      </c>
      <c r="W74" s="22" t="s">
        <v>587</v>
      </c>
      <c r="X74" s="22" t="s">
        <v>243</v>
      </c>
      <c r="Y74" s="22" t="s">
        <v>243</v>
      </c>
      <c r="Z74" s="22" t="s">
        <v>836</v>
      </c>
      <c r="AA74" s="22" t="s">
        <v>562</v>
      </c>
      <c r="AB74" s="23" t="s">
        <v>765</v>
      </c>
    </row>
    <row r="75" spans="1:28" x14ac:dyDescent="0.3">
      <c r="A75" s="21" t="s">
        <v>597</v>
      </c>
      <c r="B75" s="22" t="s">
        <v>598</v>
      </c>
      <c r="C75" s="22" t="s">
        <v>156</v>
      </c>
      <c r="D75" s="22" t="s">
        <v>603</v>
      </c>
      <c r="E75" s="22" t="s">
        <v>157</v>
      </c>
      <c r="F75" s="22" t="s">
        <v>621</v>
      </c>
      <c r="G75" s="22" t="s">
        <v>168</v>
      </c>
      <c r="H75" s="22" t="s">
        <v>168</v>
      </c>
      <c r="I75" s="22" t="s">
        <v>219</v>
      </c>
      <c r="J75" s="33">
        <v>205</v>
      </c>
      <c r="K75" s="33">
        <v>51</v>
      </c>
      <c r="L75" s="33">
        <v>203</v>
      </c>
      <c r="M75" s="33">
        <v>51</v>
      </c>
      <c r="N75" s="41">
        <v>203</v>
      </c>
      <c r="O75" s="41">
        <v>51</v>
      </c>
      <c r="P75" s="41">
        <v>203</v>
      </c>
      <c r="Q75" s="41">
        <v>51</v>
      </c>
      <c r="R75" s="41">
        <v>210</v>
      </c>
      <c r="S75" s="41">
        <v>51</v>
      </c>
      <c r="T75" s="34">
        <f>(Table1[[#This Row],[30.04.2025 Individus]]-Table1[[#This Row],[31.03.2025 Individus]])/Table1[[#This Row],[31.03.2025 Individus]]</f>
        <v>3.4482758620689655E-2</v>
      </c>
      <c r="U75" s="62">
        <f>Table1[[#This Row],[30.04.2025 Individus]]-Table1[[#This Row],[31.03.2025 Individus]]</f>
        <v>7</v>
      </c>
      <c r="V75" s="22" t="str">
        <f>IF(Table1[[#This Row],[Différence]]&lt;0,"Retournés","Déplacés")</f>
        <v>Déplacés</v>
      </c>
      <c r="W75" s="22" t="s">
        <v>828</v>
      </c>
      <c r="X75" s="22" t="s">
        <v>244</v>
      </c>
      <c r="Y75" s="22" t="s">
        <v>244</v>
      </c>
      <c r="Z75" s="22" t="s">
        <v>765</v>
      </c>
      <c r="AA75" s="22" t="s">
        <v>829</v>
      </c>
      <c r="AB75" s="23" t="s">
        <v>765</v>
      </c>
    </row>
    <row r="76" spans="1:28" hidden="1" x14ac:dyDescent="0.3">
      <c r="A76" s="21" t="s">
        <v>597</v>
      </c>
      <c r="B76" s="22" t="s">
        <v>598</v>
      </c>
      <c r="C76" s="22" t="s">
        <v>156</v>
      </c>
      <c r="D76" s="22" t="s">
        <v>603</v>
      </c>
      <c r="E76" s="22" t="s">
        <v>157</v>
      </c>
      <c r="F76" s="22" t="s">
        <v>621</v>
      </c>
      <c r="G76" s="22" t="s">
        <v>156</v>
      </c>
      <c r="H76" s="22" t="s">
        <v>158</v>
      </c>
      <c r="I76" s="22" t="s">
        <v>219</v>
      </c>
      <c r="J76" s="33"/>
      <c r="K76" s="33"/>
      <c r="L76" s="33"/>
      <c r="M76" s="33"/>
      <c r="N76" s="41"/>
      <c r="O76" s="41"/>
      <c r="P76" s="41"/>
      <c r="Q76" s="41"/>
      <c r="R76" s="41"/>
      <c r="S76" s="41"/>
      <c r="T76" s="34" t="e">
        <f>(Table1[[#This Row],[30.04.2025 Individus]]-Table1[[#This Row],[31.03.2025 Individus]])/Table1[[#This Row],[31.03.2025 Individus]]</f>
        <v>#DIV/0!</v>
      </c>
      <c r="U76" s="62">
        <f>Table1[[#This Row],[30.04.2025 Individus]]-Table1[[#This Row],[31.03.2025 Individus]]</f>
        <v>0</v>
      </c>
      <c r="V76" s="22" t="str">
        <f>IF(Table1[[#This Row],[Différence]]&lt;0,"Retournés","Déplacés")</f>
        <v>Déplacés</v>
      </c>
      <c r="W76" s="22" t="s">
        <v>565</v>
      </c>
      <c r="X76" s="22" t="s">
        <v>243</v>
      </c>
      <c r="Y76" s="22" t="s">
        <v>200</v>
      </c>
      <c r="Z76" s="22"/>
      <c r="AA76" s="22" t="s">
        <v>574</v>
      </c>
      <c r="AB76" s="23" t="s">
        <v>200</v>
      </c>
    </row>
    <row r="77" spans="1:28" x14ac:dyDescent="0.3">
      <c r="A77" s="21" t="s">
        <v>597</v>
      </c>
      <c r="B77" s="22" t="s">
        <v>598</v>
      </c>
      <c r="C77" s="22" t="s">
        <v>140</v>
      </c>
      <c r="D77" s="22" t="s">
        <v>602</v>
      </c>
      <c r="E77" s="22" t="s">
        <v>142</v>
      </c>
      <c r="F77" s="22" t="s">
        <v>622</v>
      </c>
      <c r="G77" s="22" t="s">
        <v>142</v>
      </c>
      <c r="H77" s="22" t="s">
        <v>143</v>
      </c>
      <c r="I77" s="22" t="s">
        <v>219</v>
      </c>
      <c r="J77" s="33">
        <v>1389</v>
      </c>
      <c r="K77" s="33">
        <v>288</v>
      </c>
      <c r="L77" s="33">
        <v>1388</v>
      </c>
      <c r="M77" s="33">
        <v>288</v>
      </c>
      <c r="N77" s="41">
        <v>1388</v>
      </c>
      <c r="O77" s="41">
        <v>288</v>
      </c>
      <c r="P77" s="41">
        <v>1388</v>
      </c>
      <c r="Q77" s="41">
        <v>288</v>
      </c>
      <c r="R77" s="41">
        <v>1388</v>
      </c>
      <c r="S77" s="41">
        <v>288</v>
      </c>
      <c r="T77" s="34">
        <f>(Table1[[#This Row],[30.04.2025 Individus]]-Table1[[#This Row],[31.03.2025 Individus]])/Table1[[#This Row],[31.03.2025 Individus]]</f>
        <v>0</v>
      </c>
      <c r="U77" s="62">
        <f>Table1[[#This Row],[30.04.2025 Individus]]-Table1[[#This Row],[31.03.2025 Individus]]</f>
        <v>0</v>
      </c>
      <c r="V77" s="22" t="str">
        <f>IF(Table1[[#This Row],[Différence]]&lt;0,"Retournés","Déplacés")</f>
        <v>Déplacés</v>
      </c>
      <c r="W77" s="22" t="s">
        <v>587</v>
      </c>
      <c r="X77" s="22" t="s">
        <v>243</v>
      </c>
      <c r="Y77" s="22" t="s">
        <v>244</v>
      </c>
      <c r="Z77" s="22" t="s">
        <v>200</v>
      </c>
      <c r="AA77" s="22"/>
      <c r="AB77" s="23" t="s">
        <v>765</v>
      </c>
    </row>
    <row r="78" spans="1:28" hidden="1" x14ac:dyDescent="0.3">
      <c r="A78" s="21" t="s">
        <v>597</v>
      </c>
      <c r="B78" s="22" t="s">
        <v>598</v>
      </c>
      <c r="C78" s="22" t="s">
        <v>136</v>
      </c>
      <c r="D78" s="22" t="s">
        <v>601</v>
      </c>
      <c r="E78" s="22" t="s">
        <v>136</v>
      </c>
      <c r="F78" s="22" t="s">
        <v>620</v>
      </c>
      <c r="G78" s="22" t="s">
        <v>160</v>
      </c>
      <c r="H78" s="22" t="s">
        <v>161</v>
      </c>
      <c r="I78" s="22" t="s">
        <v>219</v>
      </c>
      <c r="J78" s="33"/>
      <c r="K78" s="33"/>
      <c r="L78" s="33"/>
      <c r="M78" s="33"/>
      <c r="N78" s="41"/>
      <c r="O78" s="41"/>
      <c r="P78" s="41"/>
      <c r="Q78" s="41"/>
      <c r="R78" s="41"/>
      <c r="S78" s="41"/>
      <c r="T78" s="34" t="e">
        <f>(Table1[[#This Row],[30.04.2025 Individus]]-Table1[[#This Row],[31.03.2025 Individus]])/Table1[[#This Row],[31.03.2025 Individus]]</f>
        <v>#DIV/0!</v>
      </c>
      <c r="U78" s="62">
        <f>Table1[[#This Row],[30.04.2025 Individus]]-Table1[[#This Row],[31.03.2025 Individus]]</f>
        <v>0</v>
      </c>
      <c r="V78" s="22" t="str">
        <f>IF(Table1[[#This Row],[Différence]]&lt;0,"Retournés","Déplacés")</f>
        <v>Déplacés</v>
      </c>
      <c r="W78" s="22" t="s">
        <v>223</v>
      </c>
      <c r="X78" s="22" t="s">
        <v>243</v>
      </c>
      <c r="Y78" s="22" t="s">
        <v>200</v>
      </c>
      <c r="Z78" s="22"/>
      <c r="AA78" s="22" t="s">
        <v>563</v>
      </c>
      <c r="AB78" s="23" t="s">
        <v>200</v>
      </c>
    </row>
    <row r="79" spans="1:28" x14ac:dyDescent="0.3">
      <c r="A79" s="21" t="s">
        <v>597</v>
      </c>
      <c r="B79" s="22" t="s">
        <v>598</v>
      </c>
      <c r="C79" s="22" t="s">
        <v>136</v>
      </c>
      <c r="D79" s="22" t="s">
        <v>601</v>
      </c>
      <c r="E79" s="22" t="s">
        <v>136</v>
      </c>
      <c r="F79" s="22" t="s">
        <v>620</v>
      </c>
      <c r="G79" s="22" t="s">
        <v>136</v>
      </c>
      <c r="H79" s="22" t="s">
        <v>137</v>
      </c>
      <c r="I79" s="22" t="s">
        <v>219</v>
      </c>
      <c r="J79" s="33">
        <v>681</v>
      </c>
      <c r="K79" s="33">
        <v>130</v>
      </c>
      <c r="L79" s="33">
        <v>678</v>
      </c>
      <c r="M79" s="33">
        <v>130</v>
      </c>
      <c r="N79" s="41">
        <v>678</v>
      </c>
      <c r="O79" s="41">
        <v>130</v>
      </c>
      <c r="P79" s="41">
        <v>678</v>
      </c>
      <c r="Q79" s="41">
        <v>130</v>
      </c>
      <c r="R79" s="41">
        <v>678</v>
      </c>
      <c r="S79" s="41">
        <v>130</v>
      </c>
      <c r="T79" s="34">
        <f>(Table1[[#This Row],[30.04.2025 Individus]]-Table1[[#This Row],[31.03.2025 Individus]])/Table1[[#This Row],[31.03.2025 Individus]]</f>
        <v>0</v>
      </c>
      <c r="U79" s="62">
        <f>Table1[[#This Row],[30.04.2025 Individus]]-Table1[[#This Row],[31.03.2025 Individus]]</f>
        <v>0</v>
      </c>
      <c r="V79" s="22" t="str">
        <f>IF(Table1[[#This Row],[Différence]]&lt;0,"Retournés","Déplacés")</f>
        <v>Déplacés</v>
      </c>
      <c r="W79" s="22" t="s">
        <v>591</v>
      </c>
      <c r="X79" s="22" t="s">
        <v>243</v>
      </c>
      <c r="Y79" s="22" t="s">
        <v>244</v>
      </c>
      <c r="Z79" s="22" t="s">
        <v>200</v>
      </c>
      <c r="AA79" s="22" t="s">
        <v>596</v>
      </c>
      <c r="AB79" s="23" t="s">
        <v>197</v>
      </c>
    </row>
    <row r="80" spans="1:28" x14ac:dyDescent="0.3">
      <c r="A80" s="21" t="s">
        <v>597</v>
      </c>
      <c r="B80" s="22" t="s">
        <v>598</v>
      </c>
      <c r="C80" s="22" t="s">
        <v>140</v>
      </c>
      <c r="D80" s="22" t="s">
        <v>602</v>
      </c>
      <c r="E80" s="22" t="s">
        <v>141</v>
      </c>
      <c r="F80" s="22" t="s">
        <v>617</v>
      </c>
      <c r="G80" s="22" t="s">
        <v>147</v>
      </c>
      <c r="H80" s="22" t="s">
        <v>148</v>
      </c>
      <c r="I80" s="22" t="s">
        <v>219</v>
      </c>
      <c r="J80" s="33">
        <v>439</v>
      </c>
      <c r="K80" s="33">
        <v>119</v>
      </c>
      <c r="L80" s="33">
        <v>437</v>
      </c>
      <c r="M80" s="33">
        <v>119</v>
      </c>
      <c r="N80" s="41">
        <v>437</v>
      </c>
      <c r="O80" s="41">
        <v>119</v>
      </c>
      <c r="P80" s="41">
        <v>437</v>
      </c>
      <c r="Q80" s="41">
        <v>119</v>
      </c>
      <c r="R80" s="41">
        <v>397</v>
      </c>
      <c r="S80" s="41">
        <v>108</v>
      </c>
      <c r="T80" s="34">
        <f>(Table1[[#This Row],[30.04.2025 Individus]]-Table1[[#This Row],[31.03.2025 Individus]])/Table1[[#This Row],[31.03.2025 Individus]]</f>
        <v>-9.1533180778032033E-2</v>
      </c>
      <c r="U80" s="62">
        <f>Table1[[#This Row],[30.04.2025 Individus]]-Table1[[#This Row],[31.03.2025 Individus]]</f>
        <v>-40</v>
      </c>
      <c r="V80" s="22" t="str">
        <f>IF(Table1[[#This Row],[Différence]]&lt;0,"Retournés","Déplacés")</f>
        <v>Retournés</v>
      </c>
      <c r="W80" s="22" t="s">
        <v>828</v>
      </c>
      <c r="X80" s="22" t="s">
        <v>244</v>
      </c>
      <c r="Y80" s="22" t="s">
        <v>244</v>
      </c>
      <c r="Z80" s="22" t="s">
        <v>765</v>
      </c>
      <c r="AA80" s="22" t="s">
        <v>829</v>
      </c>
      <c r="AB80" s="23" t="s">
        <v>765</v>
      </c>
    </row>
    <row r="81" spans="1:28" x14ac:dyDescent="0.3">
      <c r="A81" s="21" t="s">
        <v>597</v>
      </c>
      <c r="B81" s="22" t="s">
        <v>598</v>
      </c>
      <c r="C81" s="22" t="s">
        <v>140</v>
      </c>
      <c r="D81" s="22" t="s">
        <v>602</v>
      </c>
      <c r="E81" s="22" t="s">
        <v>141</v>
      </c>
      <c r="F81" s="22" t="s">
        <v>617</v>
      </c>
      <c r="G81" s="22" t="s">
        <v>149</v>
      </c>
      <c r="H81" s="22" t="s">
        <v>150</v>
      </c>
      <c r="I81" s="22" t="s">
        <v>219</v>
      </c>
      <c r="J81" s="33">
        <v>28</v>
      </c>
      <c r="K81" s="33">
        <v>7</v>
      </c>
      <c r="L81" s="33">
        <v>28</v>
      </c>
      <c r="M81" s="33">
        <v>7</v>
      </c>
      <c r="N81" s="41">
        <v>28</v>
      </c>
      <c r="O81" s="41">
        <v>7</v>
      </c>
      <c r="P81" s="41">
        <v>28</v>
      </c>
      <c r="Q81" s="41">
        <v>7</v>
      </c>
      <c r="R81" s="41">
        <v>28</v>
      </c>
      <c r="S81" s="41">
        <v>7</v>
      </c>
      <c r="T81" s="34">
        <f>(Table1[[#This Row],[30.04.2025 Individus]]-Table1[[#This Row],[31.03.2025 Individus]])/Table1[[#This Row],[31.03.2025 Individus]]</f>
        <v>0</v>
      </c>
      <c r="U81" s="62">
        <f>Table1[[#This Row],[30.04.2025 Individus]]-Table1[[#This Row],[31.03.2025 Individus]]</f>
        <v>0</v>
      </c>
      <c r="V81" s="22" t="str">
        <f>IF(Table1[[#This Row],[Différence]]&lt;0,"Retournés","Déplacés")</f>
        <v>Déplacés</v>
      </c>
      <c r="W81" s="22" t="s">
        <v>587</v>
      </c>
      <c r="X81" s="22" t="s">
        <v>243</v>
      </c>
      <c r="Y81" s="22" t="s">
        <v>244</v>
      </c>
      <c r="Z81" s="22" t="s">
        <v>765</v>
      </c>
      <c r="AA81" s="22"/>
      <c r="AB81" s="23" t="s">
        <v>765</v>
      </c>
    </row>
    <row r="82" spans="1:28" x14ac:dyDescent="0.3">
      <c r="A82" s="21" t="s">
        <v>597</v>
      </c>
      <c r="B82" s="22" t="s">
        <v>598</v>
      </c>
      <c r="C82" s="22" t="s">
        <v>156</v>
      </c>
      <c r="D82" s="22" t="s">
        <v>603</v>
      </c>
      <c r="E82" s="22" t="s">
        <v>157</v>
      </c>
      <c r="F82" s="22" t="s">
        <v>621</v>
      </c>
      <c r="G82" s="22" t="s">
        <v>156</v>
      </c>
      <c r="H82" s="22" t="s">
        <v>228</v>
      </c>
      <c r="I82" s="22" t="s">
        <v>219</v>
      </c>
      <c r="J82" s="33">
        <v>33</v>
      </c>
      <c r="K82" s="33">
        <v>6</v>
      </c>
      <c r="L82" s="33">
        <v>33</v>
      </c>
      <c r="M82" s="33">
        <v>6</v>
      </c>
      <c r="N82" s="41">
        <v>33</v>
      </c>
      <c r="O82" s="41">
        <v>6</v>
      </c>
      <c r="P82" s="41">
        <v>33</v>
      </c>
      <c r="Q82" s="41">
        <v>6</v>
      </c>
      <c r="R82" s="41">
        <v>33</v>
      </c>
      <c r="S82" s="41">
        <v>6</v>
      </c>
      <c r="T82" s="34">
        <f>(Table1[[#This Row],[30.04.2025 Individus]]-Table1[[#This Row],[31.03.2025 Individus]])/Table1[[#This Row],[31.03.2025 Individus]]</f>
        <v>0</v>
      </c>
      <c r="U82" s="62">
        <f>Table1[[#This Row],[30.04.2025 Individus]]-Table1[[#This Row],[31.03.2025 Individus]]</f>
        <v>0</v>
      </c>
      <c r="V82" s="22" t="str">
        <f>IF(Table1[[#This Row],[Différence]]&lt;0,"Retournés","Déplacés")</f>
        <v>Déplacés</v>
      </c>
      <c r="W82" s="22" t="s">
        <v>587</v>
      </c>
      <c r="X82" s="22" t="s">
        <v>243</v>
      </c>
      <c r="Y82" s="22" t="s">
        <v>243</v>
      </c>
      <c r="Z82" s="22" t="s">
        <v>836</v>
      </c>
      <c r="AA82" s="22"/>
      <c r="AB82" s="23" t="s">
        <v>765</v>
      </c>
    </row>
    <row r="83" spans="1:28" x14ac:dyDescent="0.3">
      <c r="A83" s="21" t="s">
        <v>597</v>
      </c>
      <c r="B83" s="22" t="s">
        <v>598</v>
      </c>
      <c r="C83" s="22" t="s">
        <v>156</v>
      </c>
      <c r="D83" s="22" t="s">
        <v>603</v>
      </c>
      <c r="E83" s="22" t="s">
        <v>166</v>
      </c>
      <c r="F83" s="22" t="s">
        <v>623</v>
      </c>
      <c r="G83" s="22" t="s">
        <v>167</v>
      </c>
      <c r="H83" s="22" t="s">
        <v>167</v>
      </c>
      <c r="I83" s="22" t="s">
        <v>219</v>
      </c>
      <c r="J83" s="33">
        <v>524</v>
      </c>
      <c r="K83" s="33">
        <v>149</v>
      </c>
      <c r="L83" s="33">
        <v>521</v>
      </c>
      <c r="M83" s="33">
        <v>149</v>
      </c>
      <c r="N83" s="41">
        <v>521</v>
      </c>
      <c r="O83" s="41">
        <v>149</v>
      </c>
      <c r="P83" s="41">
        <v>521</v>
      </c>
      <c r="Q83" s="41">
        <v>149</v>
      </c>
      <c r="R83" s="41">
        <v>380</v>
      </c>
      <c r="S83" s="41">
        <v>107</v>
      </c>
      <c r="T83" s="34">
        <f>(Table1[[#This Row],[30.04.2025 Individus]]-Table1[[#This Row],[31.03.2025 Individus]])/Table1[[#This Row],[31.03.2025 Individus]]</f>
        <v>-0.2706333973128599</v>
      </c>
      <c r="U83" s="62">
        <f>Table1[[#This Row],[30.04.2025 Individus]]-Table1[[#This Row],[31.03.2025 Individus]]</f>
        <v>-141</v>
      </c>
      <c r="V83" s="22" t="str">
        <f>IF(Table1[[#This Row],[Différence]]&lt;0,"Retournés","Déplacés")</f>
        <v>Retournés</v>
      </c>
      <c r="W83" s="22" t="s">
        <v>828</v>
      </c>
      <c r="X83" s="22" t="s">
        <v>244</v>
      </c>
      <c r="Y83" s="22" t="s">
        <v>244</v>
      </c>
      <c r="Z83" s="22" t="s">
        <v>765</v>
      </c>
      <c r="AA83" s="22" t="s">
        <v>829</v>
      </c>
      <c r="AB83" s="23" t="s">
        <v>765</v>
      </c>
    </row>
    <row r="84" spans="1:28" hidden="1" x14ac:dyDescent="0.3">
      <c r="A84" s="21" t="s">
        <v>597</v>
      </c>
      <c r="B84" s="22" t="s">
        <v>598</v>
      </c>
      <c r="C84" s="22" t="s">
        <v>156</v>
      </c>
      <c r="D84" s="22" t="s">
        <v>603</v>
      </c>
      <c r="E84" s="22" t="s">
        <v>166</v>
      </c>
      <c r="F84" s="22" t="s">
        <v>623</v>
      </c>
      <c r="G84" s="22" t="s">
        <v>166</v>
      </c>
      <c r="H84" s="22" t="s">
        <v>170</v>
      </c>
      <c r="I84" s="22" t="s">
        <v>219</v>
      </c>
      <c r="J84" s="33"/>
      <c r="K84" s="33"/>
      <c r="L84" s="33"/>
      <c r="M84" s="33"/>
      <c r="N84" s="41"/>
      <c r="O84" s="41"/>
      <c r="P84" s="41"/>
      <c r="Q84" s="41"/>
      <c r="R84" s="41"/>
      <c r="S84" s="41"/>
      <c r="T84" s="34" t="e">
        <f>(Table1[[#This Row],[30.04.2025 Individus]]-Table1[[#This Row],[31.03.2025 Individus]])/Table1[[#This Row],[31.03.2025 Individus]]</f>
        <v>#DIV/0!</v>
      </c>
      <c r="U84" s="62">
        <f>Table1[[#This Row],[30.04.2025 Individus]]-Table1[[#This Row],[31.03.2025 Individus]]</f>
        <v>0</v>
      </c>
      <c r="V84" s="22" t="str">
        <f>IF(Table1[[#This Row],[Différence]]&lt;0,"Retournés","Déplacés")</f>
        <v>Déplacés</v>
      </c>
      <c r="W84" s="22" t="s">
        <v>565</v>
      </c>
      <c r="X84" s="22" t="s">
        <v>243</v>
      </c>
      <c r="Y84" s="22" t="s">
        <v>200</v>
      </c>
      <c r="Z84" s="22"/>
      <c r="AA84" s="22" t="s">
        <v>576</v>
      </c>
      <c r="AB84" s="23" t="s">
        <v>200</v>
      </c>
    </row>
    <row r="85" spans="1:28" x14ac:dyDescent="0.3">
      <c r="A85" s="21" t="s">
        <v>597</v>
      </c>
      <c r="B85" s="22" t="s">
        <v>598</v>
      </c>
      <c r="C85" s="22" t="s">
        <v>136</v>
      </c>
      <c r="D85" s="22" t="s">
        <v>601</v>
      </c>
      <c r="E85" s="22" t="s">
        <v>152</v>
      </c>
      <c r="F85" s="22" t="s">
        <v>624</v>
      </c>
      <c r="G85" s="22" t="s">
        <v>153</v>
      </c>
      <c r="H85" s="22" t="s">
        <v>154</v>
      </c>
      <c r="I85" s="22" t="s">
        <v>219</v>
      </c>
      <c r="J85" s="33">
        <v>574</v>
      </c>
      <c r="K85" s="33">
        <v>116</v>
      </c>
      <c r="L85" s="33">
        <v>572</v>
      </c>
      <c r="M85" s="33">
        <v>116</v>
      </c>
      <c r="N85" s="41">
        <v>572</v>
      </c>
      <c r="O85" s="41">
        <v>116</v>
      </c>
      <c r="P85" s="41">
        <v>572</v>
      </c>
      <c r="Q85" s="41">
        <v>116</v>
      </c>
      <c r="R85" s="41">
        <v>528</v>
      </c>
      <c r="S85" s="41">
        <v>106</v>
      </c>
      <c r="T85" s="34">
        <f>(Table1[[#This Row],[30.04.2025 Individus]]-Table1[[#This Row],[31.03.2025 Individus]])/Table1[[#This Row],[31.03.2025 Individus]]</f>
        <v>-7.6923076923076927E-2</v>
      </c>
      <c r="U85" s="62">
        <f>Table1[[#This Row],[30.04.2025 Individus]]-Table1[[#This Row],[31.03.2025 Individus]]</f>
        <v>-44</v>
      </c>
      <c r="V85" s="22" t="str">
        <f>IF(Table1[[#This Row],[Différence]]&lt;0,"Retournés","Déplacés")</f>
        <v>Retournés</v>
      </c>
      <c r="W85" s="22" t="s">
        <v>828</v>
      </c>
      <c r="X85" s="22" t="s">
        <v>244</v>
      </c>
      <c r="Y85" s="22" t="s">
        <v>244</v>
      </c>
      <c r="Z85" s="22" t="s">
        <v>765</v>
      </c>
      <c r="AA85" s="22" t="s">
        <v>829</v>
      </c>
      <c r="AB85" s="23" t="s">
        <v>765</v>
      </c>
    </row>
    <row r="86" spans="1:28" x14ac:dyDescent="0.3">
      <c r="A86" s="21" t="s">
        <v>597</v>
      </c>
      <c r="B86" s="22" t="s">
        <v>598</v>
      </c>
      <c r="C86" s="22" t="s">
        <v>136</v>
      </c>
      <c r="D86" s="22" t="s">
        <v>601</v>
      </c>
      <c r="E86" s="22" t="s">
        <v>152</v>
      </c>
      <c r="F86" s="22" t="s">
        <v>624</v>
      </c>
      <c r="G86" s="22" t="s">
        <v>153</v>
      </c>
      <c r="H86" s="22" t="s">
        <v>155</v>
      </c>
      <c r="I86" s="22" t="s">
        <v>219</v>
      </c>
      <c r="J86" s="33">
        <v>558</v>
      </c>
      <c r="K86" s="33">
        <v>110</v>
      </c>
      <c r="L86" s="33">
        <v>558</v>
      </c>
      <c r="M86" s="33">
        <v>110</v>
      </c>
      <c r="N86" s="41">
        <v>558</v>
      </c>
      <c r="O86" s="41">
        <v>110</v>
      </c>
      <c r="P86" s="41">
        <v>558</v>
      </c>
      <c r="Q86" s="41">
        <v>110</v>
      </c>
      <c r="R86" s="41">
        <v>567</v>
      </c>
      <c r="S86" s="41">
        <v>115</v>
      </c>
      <c r="T86" s="34">
        <f>(Table1[[#This Row],[30.04.2025 Individus]]-Table1[[#This Row],[31.03.2025 Individus]])/Table1[[#This Row],[31.03.2025 Individus]]</f>
        <v>1.6129032258064516E-2</v>
      </c>
      <c r="U86" s="62">
        <f>Table1[[#This Row],[30.04.2025 Individus]]-Table1[[#This Row],[31.03.2025 Individus]]</f>
        <v>9</v>
      </c>
      <c r="V86" s="22" t="str">
        <f>IF(Table1[[#This Row],[Différence]]&lt;0,"Retournés","Déplacés")</f>
        <v>Déplacés</v>
      </c>
      <c r="W86" s="22" t="s">
        <v>828</v>
      </c>
      <c r="X86" s="22" t="s">
        <v>244</v>
      </c>
      <c r="Y86" s="22" t="s">
        <v>244</v>
      </c>
      <c r="Z86" s="22" t="s">
        <v>765</v>
      </c>
      <c r="AA86" s="22" t="s">
        <v>829</v>
      </c>
      <c r="AB86" s="23" t="s">
        <v>765</v>
      </c>
    </row>
    <row r="87" spans="1:28" x14ac:dyDescent="0.3">
      <c r="A87" s="21" t="s">
        <v>597</v>
      </c>
      <c r="B87" s="22" t="s">
        <v>598</v>
      </c>
      <c r="C87" s="22" t="s">
        <v>156</v>
      </c>
      <c r="D87" s="22" t="s">
        <v>603</v>
      </c>
      <c r="E87" s="22" t="s">
        <v>157</v>
      </c>
      <c r="F87" s="22" t="s">
        <v>621</v>
      </c>
      <c r="G87" s="22" t="s">
        <v>169</v>
      </c>
      <c r="H87" s="22" t="s">
        <v>169</v>
      </c>
      <c r="I87" s="22" t="s">
        <v>219</v>
      </c>
      <c r="J87" s="33">
        <v>21</v>
      </c>
      <c r="K87" s="33">
        <v>5</v>
      </c>
      <c r="L87" s="33">
        <v>21</v>
      </c>
      <c r="M87" s="33">
        <v>5</v>
      </c>
      <c r="N87" s="41">
        <v>21</v>
      </c>
      <c r="O87" s="41">
        <v>5</v>
      </c>
      <c r="P87" s="41">
        <v>21</v>
      </c>
      <c r="Q87" s="41">
        <v>5</v>
      </c>
      <c r="R87" s="41">
        <v>22</v>
      </c>
      <c r="S87" s="41">
        <v>5</v>
      </c>
      <c r="T87" s="34">
        <f>(Table1[[#This Row],[30.04.2025 Individus]]-Table1[[#This Row],[31.03.2025 Individus]])/Table1[[#This Row],[31.03.2025 Individus]]</f>
        <v>4.7619047619047616E-2</v>
      </c>
      <c r="U87" s="62">
        <f>Table1[[#This Row],[30.04.2025 Individus]]-Table1[[#This Row],[31.03.2025 Individus]]</f>
        <v>1</v>
      </c>
      <c r="V87" s="22" t="str">
        <f>IF(Table1[[#This Row],[Différence]]&lt;0,"Retournés","Déplacés")</f>
        <v>Déplacés</v>
      </c>
      <c r="W87" s="22" t="s">
        <v>828</v>
      </c>
      <c r="X87" s="22" t="s">
        <v>244</v>
      </c>
      <c r="Y87" s="22" t="s">
        <v>244</v>
      </c>
      <c r="Z87" s="22" t="s">
        <v>765</v>
      </c>
      <c r="AA87" s="22"/>
      <c r="AB87" s="23" t="s">
        <v>765</v>
      </c>
    </row>
    <row r="88" spans="1:28" hidden="1" x14ac:dyDescent="0.3">
      <c r="A88" s="21" t="s">
        <v>134</v>
      </c>
      <c r="B88" s="22" t="s">
        <v>135</v>
      </c>
      <c r="C88" s="22" t="s">
        <v>180</v>
      </c>
      <c r="D88" s="22" t="s">
        <v>181</v>
      </c>
      <c r="E88" s="22" t="s">
        <v>180</v>
      </c>
      <c r="F88" s="22" t="s">
        <v>182</v>
      </c>
      <c r="G88" s="22" t="s">
        <v>180</v>
      </c>
      <c r="H88" s="22" t="s">
        <v>183</v>
      </c>
      <c r="I88" s="22" t="s">
        <v>219</v>
      </c>
      <c r="J88" s="33"/>
      <c r="K88" s="33"/>
      <c r="L88" s="33"/>
      <c r="M88" s="33"/>
      <c r="N88" s="41"/>
      <c r="O88" s="41"/>
      <c r="P88" s="41"/>
      <c r="Q88" s="41"/>
      <c r="R88" s="41"/>
      <c r="S88" s="41"/>
      <c r="T88" s="34" t="e">
        <f>(Table1[[#This Row],[30.04.2025 Individus]]-Table1[[#This Row],[31.03.2025 Individus]])/Table1[[#This Row],[31.03.2025 Individus]]</f>
        <v>#DIV/0!</v>
      </c>
      <c r="U88" s="62">
        <f>Table1[[#This Row],[30.04.2025 Individus]]-Table1[[#This Row],[31.03.2025 Individus]]</f>
        <v>0</v>
      </c>
      <c r="V88" s="22" t="str">
        <f>IF(Table1[[#This Row],[Différence]]&lt;0,"Retournés","Déplacés")</f>
        <v>Déplacés</v>
      </c>
      <c r="W88" s="22" t="s">
        <v>221</v>
      </c>
      <c r="X88" s="22" t="s">
        <v>243</v>
      </c>
      <c r="Y88" s="22" t="s">
        <v>203</v>
      </c>
      <c r="Z88" s="22"/>
      <c r="AA88" s="22" t="s">
        <v>222</v>
      </c>
      <c r="AB88" s="23" t="s">
        <v>203</v>
      </c>
    </row>
    <row r="89" spans="1:28" hidden="1" x14ac:dyDescent="0.3">
      <c r="A89" s="21" t="s">
        <v>597</v>
      </c>
      <c r="B89" s="22" t="s">
        <v>598</v>
      </c>
      <c r="C89" s="22" t="s">
        <v>156</v>
      </c>
      <c r="D89" s="22" t="s">
        <v>603</v>
      </c>
      <c r="E89" s="22" t="s">
        <v>157</v>
      </c>
      <c r="F89" s="22" t="s">
        <v>621</v>
      </c>
      <c r="G89" s="22" t="s">
        <v>178</v>
      </c>
      <c r="H89" s="22" t="s">
        <v>179</v>
      </c>
      <c r="I89" s="22" t="s">
        <v>219</v>
      </c>
      <c r="J89" s="33"/>
      <c r="K89" s="33"/>
      <c r="L89" s="33"/>
      <c r="M89" s="33"/>
      <c r="N89" s="41"/>
      <c r="O89" s="41"/>
      <c r="P89" s="41"/>
      <c r="Q89" s="41"/>
      <c r="R89" s="41"/>
      <c r="S89" s="41"/>
      <c r="T89" s="34" t="e">
        <f>(Table1[[#This Row],[30.04.2025 Individus]]-Table1[[#This Row],[31.03.2025 Individus]])/Table1[[#This Row],[31.03.2025 Individus]]</f>
        <v>#DIV/0!</v>
      </c>
      <c r="U89" s="62">
        <f>Table1[[#This Row],[30.04.2025 Individus]]-Table1[[#This Row],[31.03.2025 Individus]]</f>
        <v>0</v>
      </c>
      <c r="V89" s="22" t="str">
        <f>IF(Table1[[#This Row],[Différence]]&lt;0,"Retournés","Déplacés")</f>
        <v>Déplacés</v>
      </c>
      <c r="W89" s="22" t="s">
        <v>221</v>
      </c>
      <c r="X89" s="22" t="s">
        <v>243</v>
      </c>
      <c r="Y89" s="22" t="s">
        <v>200</v>
      </c>
      <c r="Z89" s="22"/>
      <c r="AA89" s="22" t="s">
        <v>222</v>
      </c>
      <c r="AB89" s="23" t="s">
        <v>200</v>
      </c>
    </row>
    <row r="90" spans="1:28" hidden="1" x14ac:dyDescent="0.3">
      <c r="A90" s="21" t="s">
        <v>597</v>
      </c>
      <c r="B90" s="22" t="s">
        <v>598</v>
      </c>
      <c r="C90" s="22" t="s">
        <v>156</v>
      </c>
      <c r="D90" s="22" t="s">
        <v>603</v>
      </c>
      <c r="E90" s="22" t="s">
        <v>157</v>
      </c>
      <c r="F90" s="22" t="s">
        <v>621</v>
      </c>
      <c r="G90" s="22" t="s">
        <v>176</v>
      </c>
      <c r="H90" s="22" t="s">
        <v>177</v>
      </c>
      <c r="I90" s="22" t="s">
        <v>219</v>
      </c>
      <c r="J90" s="33"/>
      <c r="K90" s="33"/>
      <c r="L90" s="33"/>
      <c r="M90" s="33"/>
      <c r="N90" s="41"/>
      <c r="O90" s="41"/>
      <c r="P90" s="41"/>
      <c r="Q90" s="41"/>
      <c r="R90" s="41"/>
      <c r="S90" s="41"/>
      <c r="T90" s="34" t="e">
        <f>(Table1[[#This Row],[30.04.2025 Individus]]-Table1[[#This Row],[31.03.2025 Individus]])/Table1[[#This Row],[31.03.2025 Individus]]</f>
        <v>#DIV/0!</v>
      </c>
      <c r="U90" s="62">
        <f>Table1[[#This Row],[30.04.2025 Individus]]-Table1[[#This Row],[31.03.2025 Individus]]</f>
        <v>0</v>
      </c>
      <c r="V90" s="22" t="str">
        <f>IF(Table1[[#This Row],[Différence]]&lt;0,"Retournés","Déplacés")</f>
        <v>Déplacés</v>
      </c>
      <c r="W90" s="22" t="s">
        <v>221</v>
      </c>
      <c r="X90" s="22" t="s">
        <v>243</v>
      </c>
      <c r="Y90" s="22" t="s">
        <v>200</v>
      </c>
      <c r="Z90" s="22"/>
      <c r="AA90" s="22" t="s">
        <v>222</v>
      </c>
      <c r="AB90" s="23" t="s">
        <v>200</v>
      </c>
    </row>
    <row r="91" spans="1:28" x14ac:dyDescent="0.3">
      <c r="A91" s="21" t="s">
        <v>597</v>
      </c>
      <c r="B91" s="22" t="s">
        <v>598</v>
      </c>
      <c r="C91" s="22" t="s">
        <v>156</v>
      </c>
      <c r="D91" s="22" t="s">
        <v>603</v>
      </c>
      <c r="E91" s="22" t="s">
        <v>166</v>
      </c>
      <c r="F91" s="22" t="s">
        <v>623</v>
      </c>
      <c r="G91" s="22" t="s">
        <v>166</v>
      </c>
      <c r="H91" s="22" t="s">
        <v>171</v>
      </c>
      <c r="I91" s="22" t="s">
        <v>219</v>
      </c>
      <c r="J91" s="33">
        <v>109</v>
      </c>
      <c r="K91" s="33">
        <v>20</v>
      </c>
      <c r="L91" s="33">
        <v>81</v>
      </c>
      <c r="M91" s="33">
        <v>18</v>
      </c>
      <c r="N91" s="41">
        <v>81</v>
      </c>
      <c r="O91" s="41">
        <v>18</v>
      </c>
      <c r="P91" s="41">
        <v>81</v>
      </c>
      <c r="Q91" s="41">
        <v>18</v>
      </c>
      <c r="R91" s="41">
        <v>109</v>
      </c>
      <c r="S91" s="41">
        <v>20</v>
      </c>
      <c r="T91" s="34">
        <f>(Table1[[#This Row],[30.04.2025 Individus]]-Table1[[#This Row],[31.03.2025 Individus]])/Table1[[#This Row],[31.03.2025 Individus]]</f>
        <v>0.34567901234567899</v>
      </c>
      <c r="U91" s="62">
        <f>Table1[[#This Row],[30.04.2025 Individus]]-Table1[[#This Row],[31.03.2025 Individus]]</f>
        <v>28</v>
      </c>
      <c r="V91" s="22" t="str">
        <f>IF(Table1[[#This Row],[Différence]]&lt;0,"Retournés","Déplacés")</f>
        <v>Déplacés</v>
      </c>
      <c r="W91" s="22" t="s">
        <v>828</v>
      </c>
      <c r="X91" s="22" t="s">
        <v>244</v>
      </c>
      <c r="Y91" s="22" t="s">
        <v>244</v>
      </c>
      <c r="Z91" s="22" t="s">
        <v>765</v>
      </c>
      <c r="AA91" s="22" t="s">
        <v>829</v>
      </c>
      <c r="AB91" s="23" t="s">
        <v>765</v>
      </c>
    </row>
    <row r="92" spans="1:28" x14ac:dyDescent="0.3">
      <c r="A92" s="21" t="s">
        <v>597</v>
      </c>
      <c r="B92" s="22" t="s">
        <v>598</v>
      </c>
      <c r="C92" s="22" t="s">
        <v>156</v>
      </c>
      <c r="D92" s="22" t="s">
        <v>603</v>
      </c>
      <c r="E92" s="22" t="s">
        <v>166</v>
      </c>
      <c r="F92" s="22" t="s">
        <v>623</v>
      </c>
      <c r="G92" s="22" t="s">
        <v>166</v>
      </c>
      <c r="H92" s="22" t="s">
        <v>172</v>
      </c>
      <c r="I92" s="22" t="s">
        <v>219</v>
      </c>
      <c r="J92" s="33">
        <v>81</v>
      </c>
      <c r="K92" s="33">
        <v>18</v>
      </c>
      <c r="L92" s="33">
        <v>109</v>
      </c>
      <c r="M92" s="33">
        <v>20</v>
      </c>
      <c r="N92" s="41">
        <v>109</v>
      </c>
      <c r="O92" s="41">
        <v>20</v>
      </c>
      <c r="P92" s="41">
        <v>109</v>
      </c>
      <c r="Q92" s="41">
        <v>20</v>
      </c>
      <c r="R92" s="41">
        <v>81</v>
      </c>
      <c r="S92" s="41">
        <v>18</v>
      </c>
      <c r="T92" s="34">
        <f>(Table1[[#This Row],[30.04.2025 Individus]]-Table1[[#This Row],[31.03.2025 Individus]])/Table1[[#This Row],[31.03.2025 Individus]]</f>
        <v>-0.25688073394495414</v>
      </c>
      <c r="U92" s="62">
        <f>Table1[[#This Row],[30.04.2025 Individus]]-Table1[[#This Row],[31.03.2025 Individus]]</f>
        <v>-28</v>
      </c>
      <c r="V92" s="22" t="str">
        <f>IF(Table1[[#This Row],[Différence]]&lt;0,"Retournés","Déplacés")</f>
        <v>Retournés</v>
      </c>
      <c r="W92" s="22" t="s">
        <v>828</v>
      </c>
      <c r="X92" s="22" t="s">
        <v>244</v>
      </c>
      <c r="Y92" s="22" t="s">
        <v>244</v>
      </c>
      <c r="Z92" s="22" t="s">
        <v>765</v>
      </c>
      <c r="AA92" s="22" t="s">
        <v>829</v>
      </c>
      <c r="AB92" s="23" t="s">
        <v>765</v>
      </c>
    </row>
    <row r="93" spans="1:28" x14ac:dyDescent="0.3">
      <c r="A93" s="21" t="s">
        <v>597</v>
      </c>
      <c r="B93" s="22" t="s">
        <v>598</v>
      </c>
      <c r="C93" s="22" t="s">
        <v>136</v>
      </c>
      <c r="D93" s="22" t="s">
        <v>601</v>
      </c>
      <c r="E93" s="22" t="s">
        <v>136</v>
      </c>
      <c r="F93" s="22" t="s">
        <v>620</v>
      </c>
      <c r="G93" s="22" t="s">
        <v>136</v>
      </c>
      <c r="H93" s="22" t="s">
        <v>162</v>
      </c>
      <c r="I93" s="22" t="s">
        <v>219</v>
      </c>
      <c r="J93" s="33">
        <v>360</v>
      </c>
      <c r="K93" s="33">
        <v>92</v>
      </c>
      <c r="L93" s="33">
        <v>360</v>
      </c>
      <c r="M93" s="33">
        <v>92</v>
      </c>
      <c r="N93" s="41">
        <v>360</v>
      </c>
      <c r="O93" s="41">
        <v>92</v>
      </c>
      <c r="P93" s="41">
        <v>360</v>
      </c>
      <c r="Q93" s="41">
        <v>92</v>
      </c>
      <c r="R93" s="41">
        <v>360</v>
      </c>
      <c r="S93" s="41">
        <v>92</v>
      </c>
      <c r="T93" s="34">
        <f>(Table1[[#This Row],[30.04.2025 Individus]]-Table1[[#This Row],[31.03.2025 Individus]])/Table1[[#This Row],[31.03.2025 Individus]]</f>
        <v>0</v>
      </c>
      <c r="U93" s="62">
        <f>Table1[[#This Row],[30.04.2025 Individus]]-Table1[[#This Row],[31.03.2025 Individus]]</f>
        <v>0</v>
      </c>
      <c r="V93" s="22" t="str">
        <f>IF(Table1[[#This Row],[Différence]]&lt;0,"Retournés","Déplacés")</f>
        <v>Déplacés</v>
      </c>
      <c r="W93" s="22" t="s">
        <v>587</v>
      </c>
      <c r="X93" s="22" t="s">
        <v>243</v>
      </c>
      <c r="Y93" s="22" t="s">
        <v>244</v>
      </c>
      <c r="Z93" s="22" t="s">
        <v>200</v>
      </c>
      <c r="AA93" s="22" t="s">
        <v>239</v>
      </c>
      <c r="AB93" s="23" t="s">
        <v>200</v>
      </c>
    </row>
    <row r="94" spans="1:28" x14ac:dyDescent="0.3">
      <c r="A94" s="21" t="s">
        <v>597</v>
      </c>
      <c r="B94" s="22" t="s">
        <v>598</v>
      </c>
      <c r="C94" s="22" t="s">
        <v>156</v>
      </c>
      <c r="D94" s="22" t="s">
        <v>603</v>
      </c>
      <c r="E94" s="22" t="s">
        <v>157</v>
      </c>
      <c r="F94" s="22" t="s">
        <v>621</v>
      </c>
      <c r="G94" s="22" t="s">
        <v>174</v>
      </c>
      <c r="H94" s="22" t="s">
        <v>175</v>
      </c>
      <c r="I94" s="22" t="s">
        <v>219</v>
      </c>
      <c r="J94" s="33">
        <v>294</v>
      </c>
      <c r="K94" s="33">
        <v>72</v>
      </c>
      <c r="L94" s="33">
        <v>316</v>
      </c>
      <c r="M94" s="33">
        <v>72</v>
      </c>
      <c r="N94" s="41">
        <v>316</v>
      </c>
      <c r="O94" s="41">
        <v>72</v>
      </c>
      <c r="P94" s="41">
        <v>316</v>
      </c>
      <c r="Q94" s="41">
        <v>72</v>
      </c>
      <c r="R94" s="41">
        <v>311</v>
      </c>
      <c r="S94" s="41">
        <v>70</v>
      </c>
      <c r="T94" s="34">
        <f>(Table1[[#This Row],[30.04.2025 Individus]]-Table1[[#This Row],[31.03.2025 Individus]])/Table1[[#This Row],[31.03.2025 Individus]]</f>
        <v>-1.5822784810126583E-2</v>
      </c>
      <c r="U94" s="62">
        <f>Table1[[#This Row],[30.04.2025 Individus]]-Table1[[#This Row],[31.03.2025 Individus]]</f>
        <v>-5</v>
      </c>
      <c r="V94" s="22" t="str">
        <f>IF(Table1[[#This Row],[Différence]]&lt;0,"Retournés","Déplacés")</f>
        <v>Retournés</v>
      </c>
      <c r="W94" s="22" t="s">
        <v>828</v>
      </c>
      <c r="X94" s="22" t="s">
        <v>244</v>
      </c>
      <c r="Y94" s="22" t="s">
        <v>244</v>
      </c>
      <c r="Z94" s="22" t="s">
        <v>765</v>
      </c>
      <c r="AA94" s="22"/>
      <c r="AB94" s="23" t="s">
        <v>765</v>
      </c>
    </row>
    <row r="95" spans="1:28" x14ac:dyDescent="0.3">
      <c r="A95" s="21" t="s">
        <v>597</v>
      </c>
      <c r="B95" s="22" t="s">
        <v>598</v>
      </c>
      <c r="C95" s="22" t="s">
        <v>136</v>
      </c>
      <c r="D95" s="22" t="s">
        <v>601</v>
      </c>
      <c r="E95" s="22" t="s">
        <v>136</v>
      </c>
      <c r="F95" s="22" t="s">
        <v>620</v>
      </c>
      <c r="G95" s="22" t="s">
        <v>136</v>
      </c>
      <c r="H95" s="22" t="s">
        <v>215</v>
      </c>
      <c r="I95" s="22" t="s">
        <v>219</v>
      </c>
      <c r="J95" s="33">
        <v>336</v>
      </c>
      <c r="K95" s="33">
        <v>89</v>
      </c>
      <c r="L95" s="33">
        <v>335</v>
      </c>
      <c r="M95" s="33">
        <v>89</v>
      </c>
      <c r="N95" s="41">
        <v>335</v>
      </c>
      <c r="O95" s="41">
        <v>89</v>
      </c>
      <c r="P95" s="41">
        <v>335</v>
      </c>
      <c r="Q95" s="41">
        <v>89</v>
      </c>
      <c r="R95" s="41">
        <v>335</v>
      </c>
      <c r="S95" s="41">
        <v>89</v>
      </c>
      <c r="T95" s="34">
        <f>(Table1[[#This Row],[30.04.2025 Individus]]-Table1[[#This Row],[31.03.2025 Individus]])/Table1[[#This Row],[31.03.2025 Individus]]</f>
        <v>0</v>
      </c>
      <c r="U95" s="62">
        <f>Table1[[#This Row],[30.04.2025 Individus]]-Table1[[#This Row],[31.03.2025 Individus]]</f>
        <v>0</v>
      </c>
      <c r="V95" s="22" t="str">
        <f>IF(Table1[[#This Row],[Différence]]&lt;0,"Retournés","Déplacés")</f>
        <v>Déplacés</v>
      </c>
      <c r="W95" s="22" t="s">
        <v>587</v>
      </c>
      <c r="X95" s="22" t="s">
        <v>243</v>
      </c>
      <c r="Y95" s="22" t="s">
        <v>244</v>
      </c>
      <c r="Z95" s="22" t="s">
        <v>200</v>
      </c>
      <c r="AA95" s="22" t="s">
        <v>235</v>
      </c>
      <c r="AB95" s="23" t="s">
        <v>200</v>
      </c>
    </row>
    <row r="96" spans="1:28" x14ac:dyDescent="0.3">
      <c r="A96" s="21" t="s">
        <v>597</v>
      </c>
      <c r="B96" s="22" t="s">
        <v>598</v>
      </c>
      <c r="C96" s="22" t="s">
        <v>140</v>
      </c>
      <c r="D96" s="22" t="s">
        <v>602</v>
      </c>
      <c r="E96" s="22" t="s">
        <v>146</v>
      </c>
      <c r="F96" s="22" t="s">
        <v>625</v>
      </c>
      <c r="G96" s="22" t="s">
        <v>146</v>
      </c>
      <c r="H96" s="22" t="s">
        <v>146</v>
      </c>
      <c r="I96" s="22" t="s">
        <v>219</v>
      </c>
      <c r="J96" s="33">
        <v>24</v>
      </c>
      <c r="K96" s="33">
        <v>4</v>
      </c>
      <c r="L96" s="33">
        <v>24</v>
      </c>
      <c r="M96" s="33">
        <v>4</v>
      </c>
      <c r="N96" s="41">
        <v>24</v>
      </c>
      <c r="O96" s="41">
        <v>4</v>
      </c>
      <c r="P96" s="41">
        <v>24</v>
      </c>
      <c r="Q96" s="41">
        <v>4</v>
      </c>
      <c r="R96" s="41">
        <v>24</v>
      </c>
      <c r="S96" s="41">
        <v>4</v>
      </c>
      <c r="T96" s="34">
        <f>(Table1[[#This Row],[30.04.2025 Individus]]-Table1[[#This Row],[31.03.2025 Individus]])/Table1[[#This Row],[31.03.2025 Individus]]</f>
        <v>0</v>
      </c>
      <c r="U96" s="62">
        <f>Table1[[#This Row],[30.04.2025 Individus]]-Table1[[#This Row],[31.03.2025 Individus]]</f>
        <v>0</v>
      </c>
      <c r="V96" s="22" t="str">
        <f>IF(Table1[[#This Row],[Différence]]&lt;0,"Retournés","Déplacés")</f>
        <v>Déplacés</v>
      </c>
      <c r="W96" s="22" t="s">
        <v>587</v>
      </c>
      <c r="X96" s="22" t="s">
        <v>243</v>
      </c>
      <c r="Y96" s="22" t="s">
        <v>244</v>
      </c>
      <c r="Z96" s="22" t="s">
        <v>765</v>
      </c>
      <c r="AA96" s="22"/>
      <c r="AB96" s="23" t="s">
        <v>765</v>
      </c>
    </row>
    <row r="97" spans="1:28" x14ac:dyDescent="0.3">
      <c r="A97" s="21" t="s">
        <v>597</v>
      </c>
      <c r="B97" s="22" t="s">
        <v>598</v>
      </c>
      <c r="C97" s="22" t="s">
        <v>140</v>
      </c>
      <c r="D97" s="22" t="s">
        <v>602</v>
      </c>
      <c r="E97" s="22" t="s">
        <v>141</v>
      </c>
      <c r="F97" s="22" t="s">
        <v>617</v>
      </c>
      <c r="G97" s="22" t="s">
        <v>140</v>
      </c>
      <c r="H97" s="22" t="s">
        <v>144</v>
      </c>
      <c r="I97" s="22" t="s">
        <v>219</v>
      </c>
      <c r="J97" s="33">
        <v>1996</v>
      </c>
      <c r="K97" s="33">
        <v>640</v>
      </c>
      <c r="L97" s="33">
        <v>1993</v>
      </c>
      <c r="M97" s="33">
        <v>640</v>
      </c>
      <c r="N97" s="41">
        <v>1993</v>
      </c>
      <c r="O97" s="41">
        <v>640</v>
      </c>
      <c r="P97" s="41">
        <v>1993</v>
      </c>
      <c r="Q97" s="41">
        <v>640</v>
      </c>
      <c r="R97" s="41">
        <v>1993</v>
      </c>
      <c r="S97" s="41">
        <v>640</v>
      </c>
      <c r="T97" s="34">
        <f>(Table1[[#This Row],[30.04.2025 Individus]]-Table1[[#This Row],[31.03.2025 Individus]])/Table1[[#This Row],[31.03.2025 Individus]]</f>
        <v>0</v>
      </c>
      <c r="U97" s="62">
        <f>Table1[[#This Row],[30.04.2025 Individus]]-Table1[[#This Row],[31.03.2025 Individus]]</f>
        <v>0</v>
      </c>
      <c r="V97" s="22" t="str">
        <f>IF(Table1[[#This Row],[Différence]]&lt;0,"Retournés","Déplacés")</f>
        <v>Déplacés</v>
      </c>
      <c r="W97" s="22" t="s">
        <v>591</v>
      </c>
      <c r="X97" s="22" t="s">
        <v>243</v>
      </c>
      <c r="Y97" s="22" t="s">
        <v>244</v>
      </c>
      <c r="Z97" s="22" t="s">
        <v>200</v>
      </c>
      <c r="AA97" s="22" t="s">
        <v>596</v>
      </c>
      <c r="AB97" s="23" t="s">
        <v>197</v>
      </c>
    </row>
    <row r="98" spans="1:28" hidden="1" x14ac:dyDescent="0.3">
      <c r="A98" s="21" t="s">
        <v>597</v>
      </c>
      <c r="B98" s="22" t="s">
        <v>598</v>
      </c>
      <c r="C98" s="22" t="s">
        <v>136</v>
      </c>
      <c r="D98" s="22" t="s">
        <v>601</v>
      </c>
      <c r="E98" s="22" t="s">
        <v>136</v>
      </c>
      <c r="F98" s="22" t="s">
        <v>620</v>
      </c>
      <c r="G98" s="22" t="s">
        <v>136</v>
      </c>
      <c r="H98" s="22" t="s">
        <v>159</v>
      </c>
      <c r="I98" s="22" t="s">
        <v>219</v>
      </c>
      <c r="J98" s="40"/>
      <c r="K98" s="40"/>
      <c r="L98" s="40"/>
      <c r="M98" s="40"/>
      <c r="N98" s="68"/>
      <c r="O98" s="68"/>
      <c r="P98" s="68"/>
      <c r="Q98" s="68"/>
      <c r="R98" s="68"/>
      <c r="S98" s="68"/>
      <c r="T98" s="34" t="e">
        <f>(Table1[[#This Row],[30.04.2025 Individus]]-Table1[[#This Row],[31.03.2025 Individus]])/Table1[[#This Row],[31.03.2025 Individus]]</f>
        <v>#DIV/0!</v>
      </c>
      <c r="U98" s="62">
        <f>Table1[[#This Row],[30.04.2025 Individus]]-Table1[[#This Row],[31.03.2025 Individus]]</f>
        <v>0</v>
      </c>
      <c r="V98" s="22" t="str">
        <f>IF(Table1[[#This Row],[Différence]]&lt;0,"Retournés","Déplacés")</f>
        <v>Déplacés</v>
      </c>
      <c r="W98" s="22" t="s">
        <v>565</v>
      </c>
      <c r="X98" s="22" t="s">
        <v>243</v>
      </c>
      <c r="Y98" s="22"/>
      <c r="Z98" s="22"/>
      <c r="AA98" s="22" t="s">
        <v>230</v>
      </c>
      <c r="AB98" s="23" t="s">
        <v>573</v>
      </c>
    </row>
    <row r="99" spans="1:28" x14ac:dyDescent="0.3">
      <c r="A99" s="21" t="s">
        <v>597</v>
      </c>
      <c r="B99" s="22" t="s">
        <v>598</v>
      </c>
      <c r="C99" s="22" t="s">
        <v>140</v>
      </c>
      <c r="D99" s="22" t="s">
        <v>602</v>
      </c>
      <c r="E99" s="22" t="s">
        <v>141</v>
      </c>
      <c r="F99" s="22" t="s">
        <v>617</v>
      </c>
      <c r="G99" s="22" t="s">
        <v>140</v>
      </c>
      <c r="H99" s="22" t="s">
        <v>145</v>
      </c>
      <c r="I99" s="22" t="s">
        <v>219</v>
      </c>
      <c r="J99" s="33">
        <v>1649</v>
      </c>
      <c r="K99" s="33">
        <v>450</v>
      </c>
      <c r="L99" s="33">
        <v>1736</v>
      </c>
      <c r="M99" s="33">
        <v>450</v>
      </c>
      <c r="N99" s="41">
        <v>1736</v>
      </c>
      <c r="O99" s="41">
        <v>450</v>
      </c>
      <c r="P99" s="41">
        <v>1736</v>
      </c>
      <c r="Q99" s="41">
        <v>450</v>
      </c>
      <c r="R99" s="41">
        <v>1736</v>
      </c>
      <c r="S99" s="41">
        <v>450</v>
      </c>
      <c r="T99" s="34">
        <f>(Table1[[#This Row],[30.04.2025 Individus]]-Table1[[#This Row],[31.03.2025 Individus]])/Table1[[#This Row],[31.03.2025 Individus]]</f>
        <v>0</v>
      </c>
      <c r="U99" s="62">
        <f>Table1[[#This Row],[30.04.2025 Individus]]-Table1[[#This Row],[31.03.2025 Individus]]</f>
        <v>0</v>
      </c>
      <c r="V99" s="22" t="str">
        <f>IF(Table1[[#This Row],[Différence]]&lt;0,"Retournés","Déplacés")</f>
        <v>Déplacés</v>
      </c>
      <c r="W99" s="22" t="s">
        <v>591</v>
      </c>
      <c r="X99" s="22" t="s">
        <v>243</v>
      </c>
      <c r="Y99" s="22" t="s">
        <v>244</v>
      </c>
      <c r="Z99" s="22" t="s">
        <v>765</v>
      </c>
      <c r="AA99" s="22" t="s">
        <v>596</v>
      </c>
      <c r="AB99" s="23" t="s">
        <v>197</v>
      </c>
    </row>
    <row r="100" spans="1:28" x14ac:dyDescent="0.3">
      <c r="A100" s="21" t="s">
        <v>597</v>
      </c>
      <c r="B100" s="22" t="s">
        <v>598</v>
      </c>
      <c r="C100" s="22" t="s">
        <v>136</v>
      </c>
      <c r="D100" s="22" t="s">
        <v>601</v>
      </c>
      <c r="E100" s="22" t="s">
        <v>136</v>
      </c>
      <c r="F100" s="22" t="s">
        <v>620</v>
      </c>
      <c r="G100" s="22" t="s">
        <v>136</v>
      </c>
      <c r="H100" s="22" t="s">
        <v>564</v>
      </c>
      <c r="I100" s="22" t="s">
        <v>219</v>
      </c>
      <c r="J100" s="33">
        <v>195</v>
      </c>
      <c r="K100" s="33">
        <v>68</v>
      </c>
      <c r="L100" s="33">
        <v>195</v>
      </c>
      <c r="M100" s="33">
        <v>68</v>
      </c>
      <c r="N100" s="41">
        <v>195</v>
      </c>
      <c r="O100" s="41">
        <v>68</v>
      </c>
      <c r="P100" s="41">
        <v>195</v>
      </c>
      <c r="Q100" s="41">
        <v>68</v>
      </c>
      <c r="R100" s="41">
        <v>195</v>
      </c>
      <c r="S100" s="41">
        <v>68</v>
      </c>
      <c r="T100" s="34">
        <f>(Table1[[#This Row],[30.04.2025 Individus]]-Table1[[#This Row],[31.03.2025 Individus]])/Table1[[#This Row],[31.03.2025 Individus]]</f>
        <v>0</v>
      </c>
      <c r="U100" s="62">
        <f>Table1[[#This Row],[30.04.2025 Individus]]-Table1[[#This Row],[31.03.2025 Individus]]</f>
        <v>0</v>
      </c>
      <c r="V100" s="22" t="str">
        <f>IF(Table1[[#This Row],[Différence]]&lt;0,"Retournés","Déplacés")</f>
        <v>Déplacés</v>
      </c>
      <c r="W100" s="22" t="s">
        <v>587</v>
      </c>
      <c r="X100" s="22" t="s">
        <v>243</v>
      </c>
      <c r="Y100" s="22" t="s">
        <v>244</v>
      </c>
      <c r="Z100" s="22" t="s">
        <v>765</v>
      </c>
      <c r="AA100" s="22"/>
      <c r="AB100" s="23" t="s">
        <v>200</v>
      </c>
    </row>
    <row r="101" spans="1:28" x14ac:dyDescent="0.3">
      <c r="A101" s="21" t="s">
        <v>597</v>
      </c>
      <c r="B101" s="22" t="s">
        <v>598</v>
      </c>
      <c r="C101" s="22" t="s">
        <v>136</v>
      </c>
      <c r="D101" s="22" t="s">
        <v>601</v>
      </c>
      <c r="E101" s="22" t="s">
        <v>136</v>
      </c>
      <c r="F101" s="22" t="s">
        <v>620</v>
      </c>
      <c r="G101" s="22" t="s">
        <v>136</v>
      </c>
      <c r="H101" s="22" t="s">
        <v>163</v>
      </c>
      <c r="I101" s="22" t="s">
        <v>219</v>
      </c>
      <c r="J101" s="33">
        <v>788</v>
      </c>
      <c r="K101" s="33">
        <v>209</v>
      </c>
      <c r="L101" s="33">
        <v>737</v>
      </c>
      <c r="M101" s="33">
        <v>209</v>
      </c>
      <c r="N101" s="41">
        <v>737</v>
      </c>
      <c r="O101" s="41">
        <v>209</v>
      </c>
      <c r="P101" s="41">
        <v>737</v>
      </c>
      <c r="Q101" s="41">
        <v>209</v>
      </c>
      <c r="R101" s="41">
        <v>737</v>
      </c>
      <c r="S101" s="41">
        <v>209</v>
      </c>
      <c r="T101" s="34">
        <f>(Table1[[#This Row],[30.04.2025 Individus]]-Table1[[#This Row],[31.03.2025 Individus]])/Table1[[#This Row],[31.03.2025 Individus]]</f>
        <v>0</v>
      </c>
      <c r="U101" s="62">
        <f>Table1[[#This Row],[30.04.2025 Individus]]-Table1[[#This Row],[31.03.2025 Individus]]</f>
        <v>0</v>
      </c>
      <c r="V101" s="22" t="str">
        <f>IF(Table1[[#This Row],[Différence]]&lt;0,"Retournés","Déplacés")</f>
        <v>Déplacés</v>
      </c>
      <c r="W101" s="22" t="s">
        <v>591</v>
      </c>
      <c r="X101" s="22" t="s">
        <v>243</v>
      </c>
      <c r="Y101" s="22" t="s">
        <v>244</v>
      </c>
      <c r="Z101" s="22" t="s">
        <v>200</v>
      </c>
      <c r="AA101" s="22" t="s">
        <v>596</v>
      </c>
      <c r="AB101" s="23" t="s">
        <v>197</v>
      </c>
    </row>
    <row r="102" spans="1:28" x14ac:dyDescent="0.3">
      <c r="A102" s="21" t="s">
        <v>597</v>
      </c>
      <c r="B102" s="22" t="s">
        <v>598</v>
      </c>
      <c r="C102" s="22" t="s">
        <v>136</v>
      </c>
      <c r="D102" s="22" t="s">
        <v>601</v>
      </c>
      <c r="E102" s="22" t="s">
        <v>136</v>
      </c>
      <c r="F102" s="22" t="s">
        <v>620</v>
      </c>
      <c r="G102" s="22" t="s">
        <v>136</v>
      </c>
      <c r="H102" s="22" t="s">
        <v>139</v>
      </c>
      <c r="I102" s="22" t="s">
        <v>219</v>
      </c>
      <c r="J102" s="33">
        <v>383</v>
      </c>
      <c r="K102" s="33">
        <v>89</v>
      </c>
      <c r="L102" s="33">
        <v>381</v>
      </c>
      <c r="M102" s="33">
        <v>89</v>
      </c>
      <c r="N102" s="41">
        <v>381</v>
      </c>
      <c r="O102" s="41">
        <v>89</v>
      </c>
      <c r="P102" s="41">
        <v>381</v>
      </c>
      <c r="Q102" s="41">
        <v>89</v>
      </c>
      <c r="R102" s="41">
        <v>381</v>
      </c>
      <c r="S102" s="41">
        <v>89</v>
      </c>
      <c r="T102" s="34">
        <f>(Table1[[#This Row],[30.04.2025 Individus]]-Table1[[#This Row],[31.03.2025 Individus]])/Table1[[#This Row],[31.03.2025 Individus]]</f>
        <v>0</v>
      </c>
      <c r="U102" s="62">
        <f>Table1[[#This Row],[30.04.2025 Individus]]-Table1[[#This Row],[31.03.2025 Individus]]</f>
        <v>0</v>
      </c>
      <c r="V102" s="22" t="str">
        <f>IF(Table1[[#This Row],[Différence]]&lt;0,"Retournés","Déplacés")</f>
        <v>Déplacés</v>
      </c>
      <c r="W102" s="22" t="s">
        <v>591</v>
      </c>
      <c r="X102" s="22" t="s">
        <v>243</v>
      </c>
      <c r="Y102" s="22" t="s">
        <v>244</v>
      </c>
      <c r="Z102" s="22" t="s">
        <v>200</v>
      </c>
      <c r="AA102" s="22" t="s">
        <v>596</v>
      </c>
      <c r="AB102" s="23" t="s">
        <v>197</v>
      </c>
    </row>
    <row r="103" spans="1:28" x14ac:dyDescent="0.3">
      <c r="A103" s="21" t="s">
        <v>597</v>
      </c>
      <c r="B103" s="22" t="s">
        <v>598</v>
      </c>
      <c r="C103" s="22" t="s">
        <v>156</v>
      </c>
      <c r="D103" s="22" t="s">
        <v>603</v>
      </c>
      <c r="E103" s="22" t="s">
        <v>157</v>
      </c>
      <c r="F103" s="22" t="s">
        <v>621</v>
      </c>
      <c r="G103" s="22" t="s">
        <v>173</v>
      </c>
      <c r="H103" s="22" t="s">
        <v>173</v>
      </c>
      <c r="I103" s="22" t="s">
        <v>219</v>
      </c>
      <c r="J103" s="33">
        <v>59</v>
      </c>
      <c r="K103" s="33">
        <v>11</v>
      </c>
      <c r="L103" s="33">
        <v>59</v>
      </c>
      <c r="M103" s="33">
        <v>11</v>
      </c>
      <c r="N103" s="41">
        <v>59</v>
      </c>
      <c r="O103" s="41">
        <v>11</v>
      </c>
      <c r="P103" s="41">
        <v>59</v>
      </c>
      <c r="Q103" s="41">
        <v>11</v>
      </c>
      <c r="R103" s="41">
        <v>59</v>
      </c>
      <c r="S103" s="41">
        <v>11</v>
      </c>
      <c r="T103" s="34">
        <f>(Table1[[#This Row],[30.04.2025 Individus]]-Table1[[#This Row],[31.03.2025 Individus]])/Table1[[#This Row],[31.03.2025 Individus]]</f>
        <v>0</v>
      </c>
      <c r="U103" s="62">
        <f>Table1[[#This Row],[30.04.2025 Individus]]-Table1[[#This Row],[31.03.2025 Individus]]</f>
        <v>0</v>
      </c>
      <c r="V103" s="22" t="str">
        <f>IF(Table1[[#This Row],[Différence]]&lt;0,"Retournés","Déplacés")</f>
        <v>Déplacés</v>
      </c>
      <c r="W103" s="22" t="s">
        <v>591</v>
      </c>
      <c r="X103" s="22" t="s">
        <v>243</v>
      </c>
      <c r="Y103" s="22" t="s">
        <v>244</v>
      </c>
      <c r="Z103" s="22" t="s">
        <v>765</v>
      </c>
      <c r="AA103" s="22"/>
      <c r="AB103" s="23" t="s">
        <v>765</v>
      </c>
    </row>
    <row r="104" spans="1:28" x14ac:dyDescent="0.3">
      <c r="A104" s="21" t="s">
        <v>184</v>
      </c>
      <c r="B104" s="22" t="s">
        <v>185</v>
      </c>
      <c r="C104" s="22" t="s">
        <v>186</v>
      </c>
      <c r="D104" s="22" t="s">
        <v>187</v>
      </c>
      <c r="E104" s="22" t="s">
        <v>186</v>
      </c>
      <c r="F104" s="22" t="s">
        <v>207</v>
      </c>
      <c r="G104" s="22" t="s">
        <v>186</v>
      </c>
      <c r="H104" s="22" t="s">
        <v>127</v>
      </c>
      <c r="I104" s="22" t="s">
        <v>219</v>
      </c>
      <c r="J104" s="33">
        <v>2665</v>
      </c>
      <c r="K104" s="33">
        <v>508</v>
      </c>
      <c r="L104" s="33">
        <v>696</v>
      </c>
      <c r="M104" s="33">
        <v>119</v>
      </c>
      <c r="N104" s="41">
        <v>696</v>
      </c>
      <c r="O104" s="41">
        <v>119</v>
      </c>
      <c r="P104" s="41">
        <v>696</v>
      </c>
      <c r="Q104" s="41">
        <v>119</v>
      </c>
      <c r="R104" s="41">
        <v>696</v>
      </c>
      <c r="S104" s="41">
        <v>119</v>
      </c>
      <c r="T104" s="34">
        <f>(Table1[[#This Row],[30.04.2025 Individus]]-Table1[[#This Row],[31.03.2025 Individus]])/Table1[[#This Row],[31.03.2025 Individus]]</f>
        <v>0</v>
      </c>
      <c r="U104" s="62">
        <f>Table1[[#This Row],[30.04.2025 Individus]]-Table1[[#This Row],[31.03.2025 Individus]]</f>
        <v>0</v>
      </c>
      <c r="V104" s="22" t="str">
        <f>IF(Table1[[#This Row],[Différence]]&lt;0,"Retournés","Déplacés")</f>
        <v>Déplacés</v>
      </c>
      <c r="W104" s="22" t="s">
        <v>591</v>
      </c>
      <c r="X104" s="22" t="s">
        <v>243</v>
      </c>
      <c r="Y104" s="22" t="s">
        <v>243</v>
      </c>
      <c r="Z104" s="22" t="s">
        <v>836</v>
      </c>
      <c r="AA104" s="22" t="s">
        <v>596</v>
      </c>
      <c r="AB104" s="23" t="s">
        <v>197</v>
      </c>
    </row>
    <row r="105" spans="1:28" x14ac:dyDescent="0.3">
      <c r="A105" s="21" t="s">
        <v>184</v>
      </c>
      <c r="B105" s="22" t="s">
        <v>135</v>
      </c>
      <c r="C105" s="73" t="s">
        <v>253</v>
      </c>
      <c r="D105" s="73" t="s">
        <v>405</v>
      </c>
      <c r="E105" s="73" t="s">
        <v>253</v>
      </c>
      <c r="F105" s="73" t="s">
        <v>451</v>
      </c>
      <c r="G105" s="22" t="s">
        <v>253</v>
      </c>
      <c r="H105" s="22" t="s">
        <v>769</v>
      </c>
      <c r="I105" s="22" t="s">
        <v>220</v>
      </c>
      <c r="J105" s="33"/>
      <c r="K105" s="33"/>
      <c r="L105" s="33"/>
      <c r="M105" s="33"/>
      <c r="N105" s="41"/>
      <c r="O105" s="41"/>
      <c r="P105" s="41">
        <v>2342</v>
      </c>
      <c r="Q105" s="41">
        <v>372</v>
      </c>
      <c r="R105" s="41">
        <v>2342</v>
      </c>
      <c r="S105" s="41">
        <v>372</v>
      </c>
      <c r="T105" s="34">
        <f>(Table1[[#This Row],[30.04.2025 Individus]]-Table1[[#This Row],[31.03.2025 Individus]])/Table1[[#This Row],[31.03.2025 Individus]]</f>
        <v>0</v>
      </c>
      <c r="U105" s="62">
        <f>Table1[[#This Row],[30.04.2025 Individus]]-Table1[[#This Row],[31.03.2025 Individus]]</f>
        <v>0</v>
      </c>
      <c r="V105" s="22" t="str">
        <f>IF(Table1[[#This Row],[Différence]]&lt;0,"Retournés","Déplacés")</f>
        <v>Déplacés</v>
      </c>
      <c r="W105" s="22" t="s">
        <v>761</v>
      </c>
      <c r="X105" s="22" t="s">
        <v>244</v>
      </c>
      <c r="Y105" s="22" t="s">
        <v>243</v>
      </c>
      <c r="Z105" s="22" t="s">
        <v>836</v>
      </c>
      <c r="AA105" s="22"/>
      <c r="AB105" s="23"/>
    </row>
    <row r="106" spans="1:28" x14ac:dyDescent="0.3">
      <c r="A106" s="21" t="s">
        <v>184</v>
      </c>
      <c r="B106" s="22" t="s">
        <v>598</v>
      </c>
      <c r="C106" s="73" t="s">
        <v>253</v>
      </c>
      <c r="D106" s="73" t="s">
        <v>405</v>
      </c>
      <c r="E106" s="73" t="s">
        <v>253</v>
      </c>
      <c r="F106" s="73" t="s">
        <v>451</v>
      </c>
      <c r="G106" s="22" t="s">
        <v>766</v>
      </c>
      <c r="H106" s="22" t="s">
        <v>770</v>
      </c>
      <c r="I106" s="22" t="s">
        <v>220</v>
      </c>
      <c r="J106" s="33"/>
      <c r="K106" s="33"/>
      <c r="L106" s="33"/>
      <c r="M106" s="33"/>
      <c r="N106" s="41"/>
      <c r="O106" s="41"/>
      <c r="P106" s="41">
        <v>498</v>
      </c>
      <c r="Q106" s="41">
        <v>170</v>
      </c>
      <c r="R106" s="41">
        <v>498</v>
      </c>
      <c r="S106" s="41">
        <v>170</v>
      </c>
      <c r="T106" s="34">
        <f>(Table1[[#This Row],[30.04.2025 Individus]]-Table1[[#This Row],[31.03.2025 Individus]])/Table1[[#This Row],[31.03.2025 Individus]]</f>
        <v>0</v>
      </c>
      <c r="U106" s="62">
        <f>Table1[[#This Row],[30.04.2025 Individus]]-Table1[[#This Row],[31.03.2025 Individus]]</f>
        <v>0</v>
      </c>
      <c r="V106" s="22" t="str">
        <f>IF(Table1[[#This Row],[Différence]]&lt;0,"Retournés","Déplacés")</f>
        <v>Déplacés</v>
      </c>
      <c r="W106" s="22" t="s">
        <v>761</v>
      </c>
      <c r="X106" s="22" t="s">
        <v>244</v>
      </c>
      <c r="Y106" s="22" t="s">
        <v>243</v>
      </c>
      <c r="Z106" s="22" t="s">
        <v>836</v>
      </c>
      <c r="AA106" s="22"/>
      <c r="AB106" s="23"/>
    </row>
    <row r="107" spans="1:28" x14ac:dyDescent="0.3">
      <c r="A107" s="21" t="s">
        <v>184</v>
      </c>
      <c r="B107" s="22" t="s">
        <v>605</v>
      </c>
      <c r="C107" s="73" t="s">
        <v>253</v>
      </c>
      <c r="D107" s="73" t="s">
        <v>405</v>
      </c>
      <c r="E107" s="73" t="s">
        <v>253</v>
      </c>
      <c r="F107" s="73" t="s">
        <v>451</v>
      </c>
      <c r="G107" s="22" t="s">
        <v>767</v>
      </c>
      <c r="H107" s="22" t="s">
        <v>771</v>
      </c>
      <c r="I107" s="22" t="s">
        <v>220</v>
      </c>
      <c r="J107" s="33"/>
      <c r="K107" s="33"/>
      <c r="L107" s="33"/>
      <c r="M107" s="33"/>
      <c r="N107" s="41"/>
      <c r="O107" s="41"/>
      <c r="P107" s="41">
        <v>630</v>
      </c>
      <c r="Q107" s="41">
        <v>370</v>
      </c>
      <c r="R107" s="41">
        <v>630</v>
      </c>
      <c r="S107" s="41">
        <v>370</v>
      </c>
      <c r="T107" s="34">
        <f>(Table1[[#This Row],[30.04.2025 Individus]]-Table1[[#This Row],[31.03.2025 Individus]])/Table1[[#This Row],[31.03.2025 Individus]]</f>
        <v>0</v>
      </c>
      <c r="U107" s="62">
        <f>Table1[[#This Row],[30.04.2025 Individus]]-Table1[[#This Row],[31.03.2025 Individus]]</f>
        <v>0</v>
      </c>
      <c r="V107" s="22" t="str">
        <f>IF(Table1[[#This Row],[Différence]]&lt;0,"Retournés","Déplacés")</f>
        <v>Déplacés</v>
      </c>
      <c r="W107" s="22" t="s">
        <v>761</v>
      </c>
      <c r="X107" s="22" t="s">
        <v>244</v>
      </c>
      <c r="Y107" s="22" t="s">
        <v>243</v>
      </c>
      <c r="Z107" s="22" t="s">
        <v>836</v>
      </c>
      <c r="AA107" s="22"/>
      <c r="AB107" s="23"/>
    </row>
    <row r="108" spans="1:28" x14ac:dyDescent="0.3">
      <c r="A108" s="21" t="s">
        <v>184</v>
      </c>
      <c r="B108" s="22" t="s">
        <v>605</v>
      </c>
      <c r="C108" s="73" t="s">
        <v>253</v>
      </c>
      <c r="D108" s="73" t="s">
        <v>405</v>
      </c>
      <c r="E108" s="73" t="s">
        <v>253</v>
      </c>
      <c r="F108" s="73" t="s">
        <v>451</v>
      </c>
      <c r="G108" s="22" t="s">
        <v>768</v>
      </c>
      <c r="H108" s="22" t="s">
        <v>772</v>
      </c>
      <c r="I108" s="22" t="s">
        <v>220</v>
      </c>
      <c r="J108" s="33"/>
      <c r="K108" s="33"/>
      <c r="L108" s="33"/>
      <c r="M108" s="33"/>
      <c r="N108" s="41"/>
      <c r="O108" s="41"/>
      <c r="P108" s="41">
        <v>1007</v>
      </c>
      <c r="Q108" s="41">
        <v>314</v>
      </c>
      <c r="R108" s="41">
        <v>1007</v>
      </c>
      <c r="S108" s="41">
        <v>314</v>
      </c>
      <c r="T108" s="34">
        <f>(Table1[[#This Row],[30.04.2025 Individus]]-Table1[[#This Row],[31.03.2025 Individus]])/Table1[[#This Row],[31.03.2025 Individus]]</f>
        <v>0</v>
      </c>
      <c r="U108" s="62">
        <f>Table1[[#This Row],[30.04.2025 Individus]]-Table1[[#This Row],[31.03.2025 Individus]]</f>
        <v>0</v>
      </c>
      <c r="V108" s="22" t="str">
        <f>IF(Table1[[#This Row],[Différence]]&lt;0,"Retournés","Déplacés")</f>
        <v>Déplacés</v>
      </c>
      <c r="W108" s="22" t="s">
        <v>761</v>
      </c>
      <c r="X108" s="22" t="s">
        <v>244</v>
      </c>
      <c r="Y108" s="22" t="s">
        <v>243</v>
      </c>
      <c r="Z108" s="22" t="s">
        <v>836</v>
      </c>
      <c r="AA108" s="22"/>
      <c r="AB108" s="23"/>
    </row>
    <row r="109" spans="1:28" x14ac:dyDescent="0.3">
      <c r="A109" s="21" t="s">
        <v>188</v>
      </c>
      <c r="B109" s="22" t="s">
        <v>189</v>
      </c>
      <c r="C109" s="22" t="s">
        <v>190</v>
      </c>
      <c r="D109" s="22" t="s">
        <v>191</v>
      </c>
      <c r="E109" s="22" t="s">
        <v>395</v>
      </c>
      <c r="F109" s="22" t="s">
        <v>547</v>
      </c>
      <c r="G109" s="22" t="s">
        <v>190</v>
      </c>
      <c r="H109" s="22" t="s">
        <v>194</v>
      </c>
      <c r="I109" s="22" t="s">
        <v>219</v>
      </c>
      <c r="J109" s="33">
        <v>94</v>
      </c>
      <c r="K109" s="33">
        <v>25</v>
      </c>
      <c r="L109" s="33">
        <v>94</v>
      </c>
      <c r="M109" s="33">
        <v>25</v>
      </c>
      <c r="N109" s="41">
        <v>94</v>
      </c>
      <c r="O109" s="41">
        <v>25</v>
      </c>
      <c r="P109" s="41">
        <v>94</v>
      </c>
      <c r="Q109" s="41">
        <v>25</v>
      </c>
      <c r="R109" s="41">
        <v>94</v>
      </c>
      <c r="S109" s="41">
        <v>25</v>
      </c>
      <c r="T109" s="34">
        <f>(Table1[[#This Row],[30.04.2025 Individus]]-Table1[[#This Row],[31.03.2025 Individus]])/Table1[[#This Row],[31.03.2025 Individus]]</f>
        <v>0</v>
      </c>
      <c r="U109" s="62">
        <f>Table1[[#This Row],[30.04.2025 Individus]]-Table1[[#This Row],[31.03.2025 Individus]]</f>
        <v>0</v>
      </c>
      <c r="V109" s="22" t="str">
        <f>IF(Table1[[#This Row],[Différence]]&lt;0,"Retournés","Déplacés")</f>
        <v>Déplacés</v>
      </c>
      <c r="W109" s="22" t="s">
        <v>591</v>
      </c>
      <c r="X109" s="22" t="s">
        <v>243</v>
      </c>
      <c r="Y109" s="22" t="s">
        <v>243</v>
      </c>
      <c r="Z109" s="22" t="s">
        <v>836</v>
      </c>
      <c r="AA109" s="22" t="s">
        <v>596</v>
      </c>
      <c r="AB109" s="23" t="s">
        <v>197</v>
      </c>
    </row>
    <row r="110" spans="1:28" x14ac:dyDescent="0.3">
      <c r="A110" s="21" t="s">
        <v>188</v>
      </c>
      <c r="B110" s="22" t="s">
        <v>189</v>
      </c>
      <c r="C110" s="22" t="s">
        <v>190</v>
      </c>
      <c r="D110" s="22" t="s">
        <v>191</v>
      </c>
      <c r="E110" s="22" t="s">
        <v>395</v>
      </c>
      <c r="F110" s="22" t="s">
        <v>547</v>
      </c>
      <c r="G110" s="22" t="s">
        <v>190</v>
      </c>
      <c r="H110" s="22" t="s">
        <v>193</v>
      </c>
      <c r="I110" s="22" t="s">
        <v>219</v>
      </c>
      <c r="J110" s="33">
        <v>139</v>
      </c>
      <c r="K110" s="33">
        <v>28</v>
      </c>
      <c r="L110" s="33">
        <v>139</v>
      </c>
      <c r="M110" s="33">
        <v>28</v>
      </c>
      <c r="N110" s="41">
        <v>139</v>
      </c>
      <c r="O110" s="41">
        <v>28</v>
      </c>
      <c r="P110" s="41">
        <v>139</v>
      </c>
      <c r="Q110" s="41">
        <v>28</v>
      </c>
      <c r="R110" s="41">
        <v>139</v>
      </c>
      <c r="S110" s="41">
        <v>28</v>
      </c>
      <c r="T110" s="34">
        <f>(Table1[[#This Row],[30.04.2025 Individus]]-Table1[[#This Row],[31.03.2025 Individus]])/Table1[[#This Row],[31.03.2025 Individus]]</f>
        <v>0</v>
      </c>
      <c r="U110" s="62">
        <f>Table1[[#This Row],[30.04.2025 Individus]]-Table1[[#This Row],[31.03.2025 Individus]]</f>
        <v>0</v>
      </c>
      <c r="V110" s="22" t="str">
        <f>IF(Table1[[#This Row],[Différence]]&lt;0,"Retournés","Déplacés")</f>
        <v>Déplacés</v>
      </c>
      <c r="W110" s="22" t="s">
        <v>591</v>
      </c>
      <c r="X110" s="22" t="s">
        <v>243</v>
      </c>
      <c r="Y110" s="22" t="s">
        <v>243</v>
      </c>
      <c r="Z110" s="22" t="s">
        <v>836</v>
      </c>
      <c r="AA110" s="22" t="s">
        <v>596</v>
      </c>
      <c r="AB110" s="23" t="s">
        <v>197</v>
      </c>
    </row>
    <row r="111" spans="1:28" x14ac:dyDescent="0.3">
      <c r="A111" s="27" t="s">
        <v>188</v>
      </c>
      <c r="B111" s="28" t="s">
        <v>189</v>
      </c>
      <c r="C111" s="28" t="s">
        <v>190</v>
      </c>
      <c r="D111" s="28" t="s">
        <v>191</v>
      </c>
      <c r="E111" s="28" t="s">
        <v>395</v>
      </c>
      <c r="F111" s="28" t="s">
        <v>547</v>
      </c>
      <c r="G111" s="28" t="s">
        <v>190</v>
      </c>
      <c r="H111" s="28" t="s">
        <v>192</v>
      </c>
      <c r="I111" s="28" t="s">
        <v>219</v>
      </c>
      <c r="J111" s="43">
        <v>960</v>
      </c>
      <c r="K111" s="43">
        <v>276</v>
      </c>
      <c r="L111" s="43">
        <v>817</v>
      </c>
      <c r="M111" s="43">
        <v>191</v>
      </c>
      <c r="N111" s="69">
        <v>817</v>
      </c>
      <c r="O111" s="69">
        <v>191</v>
      </c>
      <c r="P111" s="69">
        <v>817</v>
      </c>
      <c r="Q111" s="69">
        <v>191</v>
      </c>
      <c r="R111" s="69">
        <v>817</v>
      </c>
      <c r="S111" s="69">
        <v>191</v>
      </c>
      <c r="T111" s="44">
        <f>(Table1[[#This Row],[30.04.2025 Individus]]-Table1[[#This Row],[31.03.2025 Individus]])/Table1[[#This Row],[31.03.2025 Individus]]</f>
        <v>0</v>
      </c>
      <c r="U111" s="64">
        <f>Table1[[#This Row],[30.04.2025 Individus]]-Table1[[#This Row],[31.03.2025 Individus]]</f>
        <v>0</v>
      </c>
      <c r="V111" s="28" t="str">
        <f>IF(Table1[[#This Row],[Différence]]&lt;0,"Retournés","Déplacés")</f>
        <v>Déplacés</v>
      </c>
      <c r="W111" s="28" t="s">
        <v>591</v>
      </c>
      <c r="X111" s="22" t="s">
        <v>243</v>
      </c>
      <c r="Y111" s="28" t="s">
        <v>243</v>
      </c>
      <c r="Z111" s="28" t="s">
        <v>836</v>
      </c>
      <c r="AA111" s="28" t="s">
        <v>596</v>
      </c>
      <c r="AB111" s="29" t="s">
        <v>197</v>
      </c>
    </row>
    <row r="113" spans="1:28" ht="15.5" x14ac:dyDescent="0.35">
      <c r="A113" s="2"/>
      <c r="B113" s="2"/>
      <c r="C113" s="2"/>
      <c r="D113" s="2"/>
      <c r="E113" s="2"/>
      <c r="F113" s="2"/>
      <c r="G113" s="2"/>
      <c r="H113" s="3">
        <f>SUBTOTAL(3,Table1[Nom_Site])</f>
        <v>82</v>
      </c>
      <c r="I113" s="3"/>
      <c r="J113" s="6">
        <f>SUBTOTAL(9,Table1[31.12.2024 Individus])</f>
        <v>76669</v>
      </c>
      <c r="K113" s="6">
        <f>SUBTOTAL(9,Table1[31.12.2024 Ménages])</f>
        <v>17044</v>
      </c>
      <c r="L113" s="6">
        <f>SUBTOTAL(9,Table1[31.01.2025 Individus])</f>
        <v>72928</v>
      </c>
      <c r="M113" s="6">
        <f>SUBTOTAL(9,Table1[31.01.2025 Ménages])</f>
        <v>16045</v>
      </c>
      <c r="N113" s="70">
        <f>SUBTOTAL(9,Table1[28.02.2025 Individus])</f>
        <v>72542</v>
      </c>
      <c r="O113" s="70">
        <f>SUBTOTAL(9,Table1[28.02.2025 Ménages])</f>
        <v>15993</v>
      </c>
      <c r="P113" s="70">
        <f>SUBTOTAL(9,Table1[31.03.2025 Individus])</f>
        <v>76220</v>
      </c>
      <c r="Q113" s="70">
        <f>SUBTOTAL(9,Table1[31.03.2025 Ménages])</f>
        <v>17081</v>
      </c>
      <c r="R113" s="70">
        <f>SUBTOTAL(9,Table1[30.04.2025 Individus])</f>
        <v>75812</v>
      </c>
      <c r="S113" s="70">
        <f>SUBTOTAL(9,Table1[30.04.2025 Ménages])</f>
        <v>16986</v>
      </c>
      <c r="T113" s="5"/>
      <c r="U113" s="65">
        <f>SUBTOTAL(9,Table1[Différence])</f>
        <v>-408</v>
      </c>
      <c r="V113" s="4"/>
      <c r="W113" s="2"/>
      <c r="X113" s="2"/>
      <c r="Y113" s="2"/>
      <c r="Z113" s="2"/>
      <c r="AA113" s="2"/>
      <c r="AB113" s="2"/>
    </row>
    <row r="115" spans="1:28" x14ac:dyDescent="0.3">
      <c r="J115" s="7"/>
      <c r="K115" s="7"/>
      <c r="L115" s="7"/>
      <c r="M115" s="7"/>
      <c r="N115" s="71"/>
      <c r="O115" s="71"/>
      <c r="P115" s="71"/>
      <c r="Q115" s="71"/>
      <c r="R115" s="71"/>
      <c r="S115" s="71"/>
      <c r="T115" s="7"/>
    </row>
    <row r="116" spans="1:28" x14ac:dyDescent="0.3">
      <c r="J116" s="8"/>
      <c r="K116" s="8"/>
      <c r="L116" s="56"/>
      <c r="M116" s="8"/>
      <c r="N116" s="67"/>
      <c r="O116" s="67"/>
      <c r="P116" s="67"/>
      <c r="Q116" s="67"/>
      <c r="R116" s="67"/>
      <c r="S116" s="67"/>
      <c r="U116" s="66"/>
    </row>
    <row r="122" spans="1:28" x14ac:dyDescent="0.3">
      <c r="G122" s="7"/>
    </row>
    <row r="123" spans="1:28" x14ac:dyDescent="0.3">
      <c r="G123" s="7"/>
    </row>
  </sheetData>
  <phoneticPr fontId="5" type="noConversion"/>
  <conditionalFormatting sqref="T5:T111">
    <cfRule type="colorScale" priority="7">
      <colorScale>
        <cfvo type="min"/>
        <cfvo type="percentile" val="50"/>
        <cfvo type="max"/>
        <color rgb="FF63BE7B"/>
        <color theme="5" tint="0.79998168889431442"/>
        <color rgb="FFF8696B"/>
      </colorScale>
    </cfRule>
  </conditionalFormatting>
  <conditionalFormatting sqref="X5:X111">
    <cfRule type="containsText" dxfId="3" priority="1" operator="containsText" text="Non">
      <formula>NOT(ISERROR(SEARCH("Non",X5)))</formula>
    </cfRule>
    <cfRule type="containsText" dxfId="2" priority="2" operator="containsText" text="Oui">
      <formula>NOT(ISERROR(SEARCH("Oui",X5)))</formula>
    </cfRule>
  </conditionalFormatting>
  <dataValidations count="1">
    <dataValidation type="list" allowBlank="1" showInputMessage="1" showErrorMessage="1" sqref="X5:X111" xr:uid="{C8F947AB-81BE-437D-BE3F-8E60137407DC}">
      <formula1>"Oui, Non"</formula1>
    </dataValidation>
  </dataValidations>
  <pageMargins left="0.45" right="0.25" top="0.75" bottom="0.75" header="0.3" footer="0.3"/>
  <pageSetup paperSize="9" scale="70" orientation="landscape" r:id="rId1"/>
  <headerFooter>
    <oddFooter>&amp;R&amp;P/&amp;N</oddFooter>
  </headerFooter>
  <customProperties>
    <customPr name="layoutContexts" r:id="rId2"/>
  </customProperties>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CD55-C46E-4E74-81F0-A4A0DD550632}">
  <dimension ref="A2:X188"/>
  <sheetViews>
    <sheetView showGridLines="0" workbookViewId="0">
      <selection activeCell="W22" sqref="W22"/>
    </sheetView>
  </sheetViews>
  <sheetFormatPr defaultRowHeight="14" x14ac:dyDescent="0.3"/>
  <cols>
    <col min="1" max="1" width="5.83203125" style="50" customWidth="1"/>
    <col min="2" max="2" width="8.33203125" hidden="1" customWidth="1"/>
    <col min="3" max="3" width="17.25" bestFit="1" customWidth="1"/>
    <col min="4" max="4" width="8.08203125" customWidth="1"/>
    <col min="5" max="5" width="19" customWidth="1"/>
    <col min="6" max="6" width="8.5" customWidth="1"/>
    <col min="7" max="7" width="20.5" bestFit="1" customWidth="1"/>
    <col min="8" max="8" width="10" hidden="1" customWidth="1"/>
    <col min="9" max="9" width="12.33203125" hidden="1" customWidth="1"/>
    <col min="10" max="10" width="10" hidden="1" customWidth="1"/>
    <col min="11" max="13" width="10.75" hidden="1" customWidth="1"/>
    <col min="14" max="17" width="10.75" customWidth="1"/>
    <col min="18" max="18" width="10.08203125" customWidth="1"/>
    <col min="19" max="19" width="11.08203125" customWidth="1"/>
    <col min="20" max="20" width="12.08203125" customWidth="1"/>
    <col min="21" max="21" width="16.75" customWidth="1"/>
    <col min="22" max="22" width="8.5" customWidth="1"/>
    <col min="23" max="23" width="31.08203125" customWidth="1"/>
    <col min="24" max="24" width="37.83203125" customWidth="1"/>
  </cols>
  <sheetData>
    <row r="2" spans="1:24" ht="32" x14ac:dyDescent="0.3">
      <c r="A2" s="1" t="s">
        <v>827</v>
      </c>
    </row>
    <row r="3" spans="1:24" ht="32" x14ac:dyDescent="0.3">
      <c r="A3" s="1" t="s">
        <v>245</v>
      </c>
    </row>
    <row r="5" spans="1:24" s="9" customFormat="1" ht="30" customHeight="1" x14ac:dyDescent="0.3">
      <c r="A5" s="93" t="s">
        <v>552</v>
      </c>
      <c r="B5" s="94" t="s">
        <v>721</v>
      </c>
      <c r="C5" s="94" t="s">
        <v>718</v>
      </c>
      <c r="D5" s="94" t="s">
        <v>722</v>
      </c>
      <c r="E5" s="94" t="s">
        <v>719</v>
      </c>
      <c r="F5" s="94" t="s">
        <v>723</v>
      </c>
      <c r="G5" s="94" t="s">
        <v>720</v>
      </c>
      <c r="H5" s="94" t="s">
        <v>585</v>
      </c>
      <c r="I5" s="94" t="s">
        <v>586</v>
      </c>
      <c r="J5" s="94" t="s">
        <v>589</v>
      </c>
      <c r="K5" s="94" t="s">
        <v>590</v>
      </c>
      <c r="L5" s="31" t="s">
        <v>752</v>
      </c>
      <c r="M5" s="31" t="s">
        <v>753</v>
      </c>
      <c r="N5" s="31" t="s">
        <v>759</v>
      </c>
      <c r="O5" s="31" t="s">
        <v>760</v>
      </c>
      <c r="P5" s="31" t="s">
        <v>825</v>
      </c>
      <c r="Q5" s="31" t="s">
        <v>826</v>
      </c>
      <c r="R5" s="94" t="s">
        <v>195</v>
      </c>
      <c r="S5" s="94" t="s">
        <v>233</v>
      </c>
      <c r="T5" s="94" t="s">
        <v>241</v>
      </c>
      <c r="U5" s="94" t="s">
        <v>232</v>
      </c>
      <c r="V5" s="94" t="s">
        <v>242</v>
      </c>
      <c r="W5" s="94" t="s">
        <v>196</v>
      </c>
      <c r="X5" s="95" t="s">
        <v>231</v>
      </c>
    </row>
    <row r="6" spans="1:24" s="9" customFormat="1" x14ac:dyDescent="0.3">
      <c r="A6" s="47">
        <v>1</v>
      </c>
      <c r="B6" s="25" t="s">
        <v>2</v>
      </c>
      <c r="C6" s="25" t="s">
        <v>1</v>
      </c>
      <c r="D6" s="25" t="s">
        <v>4</v>
      </c>
      <c r="E6" s="25" t="s">
        <v>3</v>
      </c>
      <c r="F6" s="25" t="s">
        <v>6</v>
      </c>
      <c r="G6" s="25" t="s">
        <v>5</v>
      </c>
      <c r="H6" s="25">
        <v>6674</v>
      </c>
      <c r="I6" s="25">
        <v>1463</v>
      </c>
      <c r="J6" s="25">
        <v>2782</v>
      </c>
      <c r="K6" s="25">
        <v>632</v>
      </c>
      <c r="L6" s="25">
        <v>3735</v>
      </c>
      <c r="M6" s="25">
        <v>864</v>
      </c>
      <c r="N6" s="25">
        <f>3735+700</f>
        <v>4435</v>
      </c>
      <c r="O6" s="25">
        <f>864+140</f>
        <v>1004</v>
      </c>
      <c r="P6" s="25">
        <f>3735+700</f>
        <v>4435</v>
      </c>
      <c r="Q6" s="25">
        <f>864+140</f>
        <v>1004</v>
      </c>
      <c r="R6" s="26">
        <f>IFERROR((Table4[[#This Row],[30.04.2025 Individus]]-Table4[[#This Row],[31.03.2025 Individus]])/Table4[[#This Row],[31.03.2025 Individus]],0)</f>
        <v>0</v>
      </c>
      <c r="S6" s="25">
        <f>Table4[[#This Row],[30.04.2025 Individus]]-Table4[[#This Row],[31.03.2025 Individus]]</f>
        <v>0</v>
      </c>
      <c r="T6" s="25" t="str">
        <f>IF(Table4[[#This Row],[Différence]]&lt;0,"Retournés","Déplacés")</f>
        <v>Déplacés</v>
      </c>
      <c r="U6" s="25" t="s">
        <v>761</v>
      </c>
      <c r="V6" s="25" t="str">
        <f>IF(Table4[[#This Row],[Evolution]]=0,"Non","Oui")</f>
        <v>Non</v>
      </c>
      <c r="W6" s="25" t="s">
        <v>792</v>
      </c>
      <c r="X6" s="42" t="s">
        <v>793</v>
      </c>
    </row>
    <row r="7" spans="1:24" s="9" customFormat="1" x14ac:dyDescent="0.3">
      <c r="A7" s="47">
        <v>2</v>
      </c>
      <c r="B7" s="25" t="s">
        <v>2</v>
      </c>
      <c r="C7" s="25" t="s">
        <v>1</v>
      </c>
      <c r="D7" s="25" t="s">
        <v>4</v>
      </c>
      <c r="E7" s="25" t="s">
        <v>3</v>
      </c>
      <c r="F7" s="25" t="s">
        <v>452</v>
      </c>
      <c r="G7" s="25" t="s">
        <v>304</v>
      </c>
      <c r="H7" s="25">
        <v>683</v>
      </c>
      <c r="I7" s="25">
        <v>132</v>
      </c>
      <c r="J7" s="25">
        <v>646</v>
      </c>
      <c r="K7" s="25">
        <v>123</v>
      </c>
      <c r="L7" s="25">
        <v>683</v>
      </c>
      <c r="M7" s="25">
        <v>132</v>
      </c>
      <c r="N7" s="25">
        <v>683</v>
      </c>
      <c r="O7" s="25">
        <v>132</v>
      </c>
      <c r="P7" s="25">
        <v>683</v>
      </c>
      <c r="Q7" s="25">
        <v>132</v>
      </c>
      <c r="R7" s="26">
        <f>IFERROR((Table4[[#This Row],[30.04.2025 Individus]]-Table4[[#This Row],[31.03.2025 Individus]])/Table4[[#This Row],[31.03.2025 Individus]],0)</f>
        <v>0</v>
      </c>
      <c r="S7" s="25">
        <f>Table4[[#This Row],[30.04.2025 Individus]]-Table4[[#This Row],[31.03.2025 Individus]]</f>
        <v>0</v>
      </c>
      <c r="T7" s="25" t="str">
        <f>IF(Table4[[#This Row],[Différence]]&lt;0,"Retournés","Déplacés")</f>
        <v>Déplacés</v>
      </c>
      <c r="U7" s="25" t="s">
        <v>591</v>
      </c>
      <c r="V7" s="25" t="str">
        <f>IF(Table4[[#This Row],[Evolution]]=0,"Non","Oui")</f>
        <v>Non</v>
      </c>
      <c r="W7" s="25" t="s">
        <v>725</v>
      </c>
      <c r="X7" s="42" t="s">
        <v>197</v>
      </c>
    </row>
    <row r="8" spans="1:24" s="9" customFormat="1" x14ac:dyDescent="0.3">
      <c r="A8" s="47">
        <v>3</v>
      </c>
      <c r="B8" s="25" t="s">
        <v>2</v>
      </c>
      <c r="C8" s="25" t="s">
        <v>1</v>
      </c>
      <c r="D8" s="25" t="s">
        <v>406</v>
      </c>
      <c r="E8" s="25" t="s">
        <v>254</v>
      </c>
      <c r="F8" s="25" t="s">
        <v>453</v>
      </c>
      <c r="G8" s="25" t="s">
        <v>305</v>
      </c>
      <c r="H8" s="25">
        <v>1200</v>
      </c>
      <c r="I8" s="25">
        <v>240</v>
      </c>
      <c r="J8" s="25">
        <v>502</v>
      </c>
      <c r="K8" s="25">
        <v>106</v>
      </c>
      <c r="L8" s="25">
        <v>614</v>
      </c>
      <c r="M8" s="25">
        <v>137</v>
      </c>
      <c r="N8" s="25">
        <v>614</v>
      </c>
      <c r="O8" s="25">
        <v>137</v>
      </c>
      <c r="P8" s="25">
        <v>614</v>
      </c>
      <c r="Q8" s="25">
        <v>137</v>
      </c>
      <c r="R8" s="26">
        <f>IFERROR((Table4[[#This Row],[30.04.2025 Individus]]-Table4[[#This Row],[31.03.2025 Individus]])/Table4[[#This Row],[31.03.2025 Individus]],0)</f>
        <v>0</v>
      </c>
      <c r="S8" s="25">
        <f>Table4[[#This Row],[30.04.2025 Individus]]-Table4[[#This Row],[31.03.2025 Individus]]</f>
        <v>0</v>
      </c>
      <c r="T8" s="25" t="str">
        <f>IF(Table4[[#This Row],[Différence]]&lt;0,"Retournés","Déplacés")</f>
        <v>Déplacés</v>
      </c>
      <c r="U8" s="25" t="s">
        <v>591</v>
      </c>
      <c r="V8" s="25" t="str">
        <f>IF(Table4[[#This Row],[Evolution]]=0,"Non","Oui")</f>
        <v>Non</v>
      </c>
      <c r="W8" s="25" t="s">
        <v>725</v>
      </c>
      <c r="X8" s="42" t="s">
        <v>197</v>
      </c>
    </row>
    <row r="9" spans="1:24" s="9" customFormat="1" x14ac:dyDescent="0.3">
      <c r="A9" s="47">
        <v>4</v>
      </c>
      <c r="B9" s="25" t="s">
        <v>14</v>
      </c>
      <c r="C9" s="25" t="s">
        <v>13</v>
      </c>
      <c r="D9" s="25" t="s">
        <v>600</v>
      </c>
      <c r="E9" s="25" t="s">
        <v>599</v>
      </c>
      <c r="F9" s="25" t="s">
        <v>684</v>
      </c>
      <c r="G9" s="25" t="s">
        <v>703</v>
      </c>
      <c r="H9" s="25">
        <v>0</v>
      </c>
      <c r="I9" s="25">
        <v>0</v>
      </c>
      <c r="J9" s="25">
        <v>0</v>
      </c>
      <c r="K9" s="25">
        <v>0</v>
      </c>
      <c r="L9" s="25">
        <v>0</v>
      </c>
      <c r="M9" s="25">
        <v>0</v>
      </c>
      <c r="N9" s="25">
        <v>0</v>
      </c>
      <c r="O9" s="25">
        <v>0</v>
      </c>
      <c r="P9" s="25">
        <v>0</v>
      </c>
      <c r="Q9" s="25">
        <v>0</v>
      </c>
      <c r="R9" s="26">
        <f>IFERROR((Table4[[#This Row],[30.04.2025 Individus]]-Table4[[#This Row],[31.03.2025 Individus]])/Table4[[#This Row],[31.03.2025 Individus]],0)</f>
        <v>0</v>
      </c>
      <c r="S9" s="25">
        <f>Table4[[#This Row],[30.04.2025 Individus]]-Table4[[#This Row],[31.03.2025 Individus]]</f>
        <v>0</v>
      </c>
      <c r="T9" s="25" t="str">
        <f>IF(Table4[[#This Row],[Différence]]&lt;0,"Retournés","Déplacés")</f>
        <v>Déplacés</v>
      </c>
      <c r="U9" s="25" t="s">
        <v>591</v>
      </c>
      <c r="V9" s="25" t="str">
        <f>IF(Table4[[#This Row],[Evolution]]=0,"Non","Oui")</f>
        <v>Non</v>
      </c>
      <c r="W9" s="25" t="s">
        <v>725</v>
      </c>
      <c r="X9" s="42" t="s">
        <v>197</v>
      </c>
    </row>
    <row r="10" spans="1:24" s="9" customFormat="1" x14ac:dyDescent="0.3">
      <c r="A10" s="47">
        <v>5</v>
      </c>
      <c r="B10" s="25" t="s">
        <v>14</v>
      </c>
      <c r="C10" s="25" t="s">
        <v>13</v>
      </c>
      <c r="D10" s="25" t="s">
        <v>600</v>
      </c>
      <c r="E10" s="25" t="s">
        <v>599</v>
      </c>
      <c r="F10" s="25" t="s">
        <v>619</v>
      </c>
      <c r="G10" s="25" t="s">
        <v>98</v>
      </c>
      <c r="H10" s="25">
        <v>35979</v>
      </c>
      <c r="I10" s="25">
        <v>7384</v>
      </c>
      <c r="J10" s="55">
        <v>35772</v>
      </c>
      <c r="K10" s="25">
        <v>7339</v>
      </c>
      <c r="L10" s="55">
        <v>35772</v>
      </c>
      <c r="M10" s="25">
        <v>7339</v>
      </c>
      <c r="N10" s="55">
        <v>35772</v>
      </c>
      <c r="O10" s="25">
        <v>7339</v>
      </c>
      <c r="P10" s="55">
        <v>35772</v>
      </c>
      <c r="Q10" s="25">
        <v>7339</v>
      </c>
      <c r="R10" s="26">
        <f>IFERROR((Table4[[#This Row],[30.04.2025 Individus]]-Table4[[#This Row],[31.03.2025 Individus]])/Table4[[#This Row],[31.03.2025 Individus]],0)</f>
        <v>0</v>
      </c>
      <c r="S10" s="25">
        <f>Table4[[#This Row],[30.04.2025 Individus]]-Table4[[#This Row],[31.03.2025 Individus]]</f>
        <v>0</v>
      </c>
      <c r="T10" s="25" t="str">
        <f>IF(Table4[[#This Row],[Différence]]&lt;0,"Retournés","Déplacés")</f>
        <v>Déplacés</v>
      </c>
      <c r="U10" s="25" t="s">
        <v>591</v>
      </c>
      <c r="V10" s="25" t="str">
        <f>IF(Table4[[#This Row],[Evolution]]=0,"Non","Oui")</f>
        <v>Non</v>
      </c>
      <c r="W10" s="25" t="s">
        <v>725</v>
      </c>
      <c r="X10" s="42" t="s">
        <v>197</v>
      </c>
    </row>
    <row r="11" spans="1:24" s="9" customFormat="1" x14ac:dyDescent="0.3">
      <c r="A11" s="47">
        <v>6</v>
      </c>
      <c r="B11" s="25" t="s">
        <v>14</v>
      </c>
      <c r="C11" s="25" t="s">
        <v>13</v>
      </c>
      <c r="D11" s="25" t="s">
        <v>665</v>
      </c>
      <c r="E11" s="25" t="s">
        <v>664</v>
      </c>
      <c r="F11" s="25" t="s">
        <v>635</v>
      </c>
      <c r="G11" s="25" t="s">
        <v>306</v>
      </c>
      <c r="H11" s="25">
        <v>235</v>
      </c>
      <c r="I11" s="25">
        <v>47</v>
      </c>
      <c r="J11" s="25">
        <v>235</v>
      </c>
      <c r="K11" s="25">
        <v>47</v>
      </c>
      <c r="L11" s="25">
        <v>235</v>
      </c>
      <c r="M11" s="25">
        <v>47</v>
      </c>
      <c r="N11" s="25">
        <v>235</v>
      </c>
      <c r="O11" s="25">
        <v>47</v>
      </c>
      <c r="P11" s="25">
        <v>235</v>
      </c>
      <c r="Q11" s="25">
        <v>47</v>
      </c>
      <c r="R11" s="26">
        <f>IFERROR((Table4[[#This Row],[30.04.2025 Individus]]-Table4[[#This Row],[31.03.2025 Individus]])/Table4[[#This Row],[31.03.2025 Individus]],0)</f>
        <v>0</v>
      </c>
      <c r="S11" s="25">
        <f>Table4[[#This Row],[30.04.2025 Individus]]-Table4[[#This Row],[31.03.2025 Individus]]</f>
        <v>0</v>
      </c>
      <c r="T11" s="25" t="str">
        <f>IF(Table4[[#This Row],[Différence]]&lt;0,"Retournés","Déplacés")</f>
        <v>Déplacés</v>
      </c>
      <c r="U11" s="25" t="s">
        <v>591</v>
      </c>
      <c r="V11" s="25" t="str">
        <f>IF(Table4[[#This Row],[Evolution]]=0,"Non","Oui")</f>
        <v>Non</v>
      </c>
      <c r="W11" s="25" t="s">
        <v>725</v>
      </c>
      <c r="X11" s="42" t="s">
        <v>197</v>
      </c>
    </row>
    <row r="12" spans="1:24" s="9" customFormat="1" x14ac:dyDescent="0.3">
      <c r="A12" s="47">
        <v>7</v>
      </c>
      <c r="B12" s="25" t="s">
        <v>14</v>
      </c>
      <c r="C12" s="25" t="s">
        <v>13</v>
      </c>
      <c r="D12" s="25" t="s">
        <v>600</v>
      </c>
      <c r="E12" s="25" t="s">
        <v>599</v>
      </c>
      <c r="F12" s="25" t="s">
        <v>616</v>
      </c>
      <c r="G12" s="25" t="s">
        <v>307</v>
      </c>
      <c r="H12" s="25">
        <v>6605</v>
      </c>
      <c r="I12" s="25">
        <v>1321</v>
      </c>
      <c r="J12" s="25">
        <v>5836</v>
      </c>
      <c r="K12" s="25">
        <v>1168</v>
      </c>
      <c r="L12" s="25">
        <v>5836</v>
      </c>
      <c r="M12" s="25">
        <v>1168</v>
      </c>
      <c r="N12" s="25">
        <v>5836</v>
      </c>
      <c r="O12" s="25">
        <v>1168</v>
      </c>
      <c r="P12" s="25">
        <v>5836</v>
      </c>
      <c r="Q12" s="25">
        <v>1168</v>
      </c>
      <c r="R12" s="26">
        <f>IFERROR((Table4[[#This Row],[30.04.2025 Individus]]-Table4[[#This Row],[31.03.2025 Individus]])/Table4[[#This Row],[31.03.2025 Individus]],0)</f>
        <v>0</v>
      </c>
      <c r="S12" s="25">
        <f>Table4[[#This Row],[30.04.2025 Individus]]-Table4[[#This Row],[31.03.2025 Individus]]</f>
        <v>0</v>
      </c>
      <c r="T12" s="25" t="str">
        <f>IF(Table4[[#This Row],[Différence]]&lt;0,"Retournés","Déplacés")</f>
        <v>Déplacés</v>
      </c>
      <c r="U12" s="25" t="s">
        <v>591</v>
      </c>
      <c r="V12" s="25" t="str">
        <f>IF(Table4[[#This Row],[Evolution]]=0,"Non","Oui")</f>
        <v>Non</v>
      </c>
      <c r="W12" s="25" t="s">
        <v>725</v>
      </c>
      <c r="X12" s="42" t="s">
        <v>197</v>
      </c>
    </row>
    <row r="13" spans="1:24" s="9" customFormat="1" ht="14.15" customHeight="1" x14ac:dyDescent="0.3">
      <c r="A13" s="47">
        <v>8</v>
      </c>
      <c r="B13" s="25" t="s">
        <v>14</v>
      </c>
      <c r="C13" s="25" t="s">
        <v>13</v>
      </c>
      <c r="D13" s="25" t="s">
        <v>15</v>
      </c>
      <c r="E13" s="25" t="s">
        <v>608</v>
      </c>
      <c r="F13" s="25" t="s">
        <v>454</v>
      </c>
      <c r="G13" s="25" t="s">
        <v>308</v>
      </c>
      <c r="H13" s="25">
        <v>28635</v>
      </c>
      <c r="I13" s="25">
        <v>5729</v>
      </c>
      <c r="J13" s="25">
        <v>28755</v>
      </c>
      <c r="K13" s="25">
        <v>5749</v>
      </c>
      <c r="L13" s="25">
        <v>28755</v>
      </c>
      <c r="M13" s="25">
        <v>5749</v>
      </c>
      <c r="N13" s="25">
        <v>28755</v>
      </c>
      <c r="O13" s="25">
        <v>5749</v>
      </c>
      <c r="P13" s="25">
        <v>28755</v>
      </c>
      <c r="Q13" s="25">
        <v>5749</v>
      </c>
      <c r="R13" s="26">
        <f>IFERROR((Table4[[#This Row],[30.04.2025 Individus]]-Table4[[#This Row],[31.03.2025 Individus]])/Table4[[#This Row],[31.03.2025 Individus]],0)</f>
        <v>0</v>
      </c>
      <c r="S13" s="25">
        <f>Table4[[#This Row],[30.04.2025 Individus]]-Table4[[#This Row],[31.03.2025 Individus]]</f>
        <v>0</v>
      </c>
      <c r="T13" s="25" t="str">
        <f>IF(Table4[[#This Row],[Différence]]&lt;0,"Retournés","Déplacés")</f>
        <v>Déplacés</v>
      </c>
      <c r="U13" s="25" t="s">
        <v>591</v>
      </c>
      <c r="V13" s="25" t="str">
        <f>IF(Table4[[#This Row],[Evolution]]=0,"Non","Oui")</f>
        <v>Non</v>
      </c>
      <c r="W13" s="25" t="s">
        <v>725</v>
      </c>
      <c r="X13" s="42" t="s">
        <v>197</v>
      </c>
    </row>
    <row r="14" spans="1:24" s="9" customFormat="1" x14ac:dyDescent="0.3">
      <c r="A14" s="47">
        <v>9</v>
      </c>
      <c r="B14" s="25" t="s">
        <v>14</v>
      </c>
      <c r="C14" s="25" t="s">
        <v>13</v>
      </c>
      <c r="D14" s="25" t="s">
        <v>667</v>
      </c>
      <c r="E14" s="25" t="s">
        <v>666</v>
      </c>
      <c r="F14" s="25" t="s">
        <v>636</v>
      </c>
      <c r="G14" s="25" t="s">
        <v>309</v>
      </c>
      <c r="H14" s="25">
        <v>2614</v>
      </c>
      <c r="I14" s="25">
        <v>522</v>
      </c>
      <c r="J14" s="25">
        <v>3473</v>
      </c>
      <c r="K14" s="25">
        <v>694</v>
      </c>
      <c r="L14" s="25">
        <v>3473</v>
      </c>
      <c r="M14" s="25">
        <v>694</v>
      </c>
      <c r="N14" s="25">
        <v>3473</v>
      </c>
      <c r="O14" s="25">
        <v>694</v>
      </c>
      <c r="P14" s="25">
        <v>3473</v>
      </c>
      <c r="Q14" s="25">
        <v>694</v>
      </c>
      <c r="R14" s="26">
        <f>IFERROR((Table4[[#This Row],[30.04.2025 Individus]]-Table4[[#This Row],[31.03.2025 Individus]])/Table4[[#This Row],[31.03.2025 Individus]],0)</f>
        <v>0</v>
      </c>
      <c r="S14" s="25">
        <f>Table4[[#This Row],[30.04.2025 Individus]]-Table4[[#This Row],[31.03.2025 Individus]]</f>
        <v>0</v>
      </c>
      <c r="T14" s="25" t="str">
        <f>IF(Table4[[#This Row],[Différence]]&lt;0,"Retournés","Déplacés")</f>
        <v>Déplacés</v>
      </c>
      <c r="U14" s="25" t="s">
        <v>591</v>
      </c>
      <c r="V14" s="25" t="str">
        <f>IF(Table4[[#This Row],[Evolution]]=0,"Non","Oui")</f>
        <v>Non</v>
      </c>
      <c r="W14" s="25" t="s">
        <v>725</v>
      </c>
      <c r="X14" s="42" t="s">
        <v>197</v>
      </c>
    </row>
    <row r="15" spans="1:24" s="9" customFormat="1" ht="14.15" customHeight="1" x14ac:dyDescent="0.3">
      <c r="A15" s="47">
        <v>10</v>
      </c>
      <c r="B15" s="25" t="s">
        <v>14</v>
      </c>
      <c r="C15" s="25" t="s">
        <v>13</v>
      </c>
      <c r="D15" s="25" t="s">
        <v>15</v>
      </c>
      <c r="E15" s="25" t="s">
        <v>608</v>
      </c>
      <c r="F15" s="25" t="s">
        <v>455</v>
      </c>
      <c r="G15" s="25" t="s">
        <v>310</v>
      </c>
      <c r="H15" s="25">
        <v>6960</v>
      </c>
      <c r="I15" s="25">
        <v>1391</v>
      </c>
      <c r="J15" s="25">
        <v>7156</v>
      </c>
      <c r="K15" s="25">
        <v>1423</v>
      </c>
      <c r="L15" s="25">
        <v>7156</v>
      </c>
      <c r="M15" s="25">
        <v>1423</v>
      </c>
      <c r="N15" s="25">
        <v>7156</v>
      </c>
      <c r="O15" s="25">
        <v>1423</v>
      </c>
      <c r="P15" s="25">
        <v>7156</v>
      </c>
      <c r="Q15" s="25">
        <v>1423</v>
      </c>
      <c r="R15" s="26">
        <f>IFERROR((Table4[[#This Row],[30.04.2025 Individus]]-Table4[[#This Row],[31.03.2025 Individus]])/Table4[[#This Row],[31.03.2025 Individus]],0)</f>
        <v>0</v>
      </c>
      <c r="S15" s="25">
        <f>Table4[[#This Row],[30.04.2025 Individus]]-Table4[[#This Row],[31.03.2025 Individus]]</f>
        <v>0</v>
      </c>
      <c r="T15" s="25" t="str">
        <f>IF(Table4[[#This Row],[Différence]]&lt;0,"Retournés","Déplacés")</f>
        <v>Déplacés</v>
      </c>
      <c r="U15" s="25" t="s">
        <v>591</v>
      </c>
      <c r="V15" s="25" t="str">
        <f>IF(Table4[[#This Row],[Evolution]]=0,"Non","Oui")</f>
        <v>Non</v>
      </c>
      <c r="W15" s="25" t="s">
        <v>725</v>
      </c>
      <c r="X15" s="42" t="s">
        <v>197</v>
      </c>
    </row>
    <row r="16" spans="1:24" s="9" customFormat="1" x14ac:dyDescent="0.3">
      <c r="A16" s="47">
        <v>11</v>
      </c>
      <c r="B16" s="25" t="s">
        <v>14</v>
      </c>
      <c r="C16" s="25" t="s">
        <v>13</v>
      </c>
      <c r="D16" s="25" t="s">
        <v>600</v>
      </c>
      <c r="E16" s="25" t="s">
        <v>599</v>
      </c>
      <c r="F16" s="25" t="s">
        <v>615</v>
      </c>
      <c r="G16" s="25" t="s">
        <v>16</v>
      </c>
      <c r="H16" s="25">
        <v>5040</v>
      </c>
      <c r="I16" s="25">
        <v>1005</v>
      </c>
      <c r="J16" s="25">
        <v>5256</v>
      </c>
      <c r="K16" s="25">
        <v>1082</v>
      </c>
      <c r="L16" s="25">
        <v>5256</v>
      </c>
      <c r="M16" s="25">
        <v>1082</v>
      </c>
      <c r="N16" s="25">
        <v>5256</v>
      </c>
      <c r="O16" s="25">
        <v>1082</v>
      </c>
      <c r="P16" s="25">
        <v>5256</v>
      </c>
      <c r="Q16" s="25">
        <v>1082</v>
      </c>
      <c r="R16" s="26">
        <f>IFERROR((Table4[[#This Row],[30.04.2025 Individus]]-Table4[[#This Row],[31.03.2025 Individus]])/Table4[[#This Row],[31.03.2025 Individus]],0)</f>
        <v>0</v>
      </c>
      <c r="S16" s="25">
        <f>Table4[[#This Row],[30.04.2025 Individus]]-Table4[[#This Row],[31.03.2025 Individus]]</f>
        <v>0</v>
      </c>
      <c r="T16" s="25" t="str">
        <f>IF(Table4[[#This Row],[Différence]]&lt;0,"Retournés","Déplacés")</f>
        <v>Déplacés</v>
      </c>
      <c r="U16" s="25" t="s">
        <v>591</v>
      </c>
      <c r="V16" s="25" t="str">
        <f>IF(Table4[[#This Row],[Evolution]]=0,"Non","Oui")</f>
        <v>Non</v>
      </c>
      <c r="W16" s="25" t="s">
        <v>725</v>
      </c>
      <c r="X16" s="42" t="s">
        <v>197</v>
      </c>
    </row>
    <row r="17" spans="1:24" s="9" customFormat="1" x14ac:dyDescent="0.3">
      <c r="A17" s="47">
        <v>12</v>
      </c>
      <c r="B17" s="25" t="s">
        <v>14</v>
      </c>
      <c r="C17" s="25" t="s">
        <v>13</v>
      </c>
      <c r="D17" s="25" t="s">
        <v>665</v>
      </c>
      <c r="E17" s="25" t="s">
        <v>664</v>
      </c>
      <c r="F17" s="25" t="s">
        <v>637</v>
      </c>
      <c r="G17" s="25" t="s">
        <v>311</v>
      </c>
      <c r="H17" s="25">
        <v>190</v>
      </c>
      <c r="I17" s="25">
        <v>40</v>
      </c>
      <c r="J17" s="25">
        <v>150</v>
      </c>
      <c r="K17" s="25">
        <v>30</v>
      </c>
      <c r="L17" s="25">
        <v>150</v>
      </c>
      <c r="M17" s="25">
        <v>30</v>
      </c>
      <c r="N17" s="25">
        <v>150</v>
      </c>
      <c r="O17" s="25">
        <v>30</v>
      </c>
      <c r="P17" s="25">
        <v>150</v>
      </c>
      <c r="Q17" s="25">
        <v>30</v>
      </c>
      <c r="R17" s="26">
        <f>IFERROR((Table4[[#This Row],[30.04.2025 Individus]]-Table4[[#This Row],[31.03.2025 Individus]])/Table4[[#This Row],[31.03.2025 Individus]],0)</f>
        <v>0</v>
      </c>
      <c r="S17" s="25">
        <f>Table4[[#This Row],[30.04.2025 Individus]]-Table4[[#This Row],[31.03.2025 Individus]]</f>
        <v>0</v>
      </c>
      <c r="T17" s="25" t="str">
        <f>IF(Table4[[#This Row],[Différence]]&lt;0,"Retournés","Déplacés")</f>
        <v>Déplacés</v>
      </c>
      <c r="U17" s="25" t="s">
        <v>591</v>
      </c>
      <c r="V17" s="25" t="str">
        <f>IF(Table4[[#This Row],[Evolution]]=0,"Non","Oui")</f>
        <v>Non</v>
      </c>
      <c r="W17" s="25" t="s">
        <v>725</v>
      </c>
      <c r="X17" s="42" t="s">
        <v>197</v>
      </c>
    </row>
    <row r="18" spans="1:24" s="9" customFormat="1" x14ac:dyDescent="0.3">
      <c r="A18" s="47">
        <v>13</v>
      </c>
      <c r="B18" s="25" t="s">
        <v>14</v>
      </c>
      <c r="C18" s="25" t="s">
        <v>13</v>
      </c>
      <c r="D18" s="25" t="s">
        <v>667</v>
      </c>
      <c r="E18" s="25" t="s">
        <v>666</v>
      </c>
      <c r="F18" s="25" t="s">
        <v>638</v>
      </c>
      <c r="G18" s="25" t="s">
        <v>312</v>
      </c>
      <c r="H18" s="25">
        <v>3903</v>
      </c>
      <c r="I18" s="25">
        <v>779</v>
      </c>
      <c r="J18" s="25">
        <v>3008</v>
      </c>
      <c r="K18" s="25">
        <v>600</v>
      </c>
      <c r="L18" s="25">
        <v>3008</v>
      </c>
      <c r="M18" s="25">
        <v>600</v>
      </c>
      <c r="N18" s="25">
        <v>3008</v>
      </c>
      <c r="O18" s="25">
        <v>600</v>
      </c>
      <c r="P18" s="25">
        <v>3008</v>
      </c>
      <c r="Q18" s="25">
        <v>600</v>
      </c>
      <c r="R18" s="26">
        <f>IFERROR((Table4[[#This Row],[30.04.2025 Individus]]-Table4[[#This Row],[31.03.2025 Individus]])/Table4[[#This Row],[31.03.2025 Individus]],0)</f>
        <v>0</v>
      </c>
      <c r="S18" s="25">
        <f>Table4[[#This Row],[30.04.2025 Individus]]-Table4[[#This Row],[31.03.2025 Individus]]</f>
        <v>0</v>
      </c>
      <c r="T18" s="25" t="str">
        <f>IF(Table4[[#This Row],[Différence]]&lt;0,"Retournés","Déplacés")</f>
        <v>Déplacés</v>
      </c>
      <c r="U18" s="25" t="s">
        <v>591</v>
      </c>
      <c r="V18" s="25" t="str">
        <f>IF(Table4[[#This Row],[Evolution]]=0,"Non","Oui")</f>
        <v>Non</v>
      </c>
      <c r="W18" s="25" t="s">
        <v>725</v>
      </c>
      <c r="X18" s="42" t="s">
        <v>197</v>
      </c>
    </row>
    <row r="19" spans="1:24" s="9" customFormat="1" x14ac:dyDescent="0.3">
      <c r="A19" s="47">
        <v>14</v>
      </c>
      <c r="B19" s="25" t="s">
        <v>19</v>
      </c>
      <c r="C19" s="25" t="s">
        <v>18</v>
      </c>
      <c r="D19" s="25" t="s">
        <v>408</v>
      </c>
      <c r="E19" s="25" t="s">
        <v>256</v>
      </c>
      <c r="F19" s="25" t="s">
        <v>462</v>
      </c>
      <c r="G19" s="25" t="s">
        <v>256</v>
      </c>
      <c r="H19" s="25">
        <v>4410</v>
      </c>
      <c r="I19" s="25">
        <v>882</v>
      </c>
      <c r="J19" s="25">
        <v>3420</v>
      </c>
      <c r="K19" s="25">
        <v>684</v>
      </c>
      <c r="L19" s="25">
        <v>3420</v>
      </c>
      <c r="M19" s="25">
        <v>684</v>
      </c>
      <c r="N19" s="25">
        <v>3420</v>
      </c>
      <c r="O19" s="25">
        <v>684</v>
      </c>
      <c r="P19" s="25">
        <v>3420</v>
      </c>
      <c r="Q19" s="25">
        <v>684</v>
      </c>
      <c r="R19" s="26">
        <f>IFERROR((Table4[[#This Row],[30.04.2025 Individus]]-Table4[[#This Row],[31.03.2025 Individus]])/Table4[[#This Row],[31.03.2025 Individus]],0)</f>
        <v>0</v>
      </c>
      <c r="S19" s="25">
        <f>Table4[[#This Row],[30.04.2025 Individus]]-Table4[[#This Row],[31.03.2025 Individus]]</f>
        <v>0</v>
      </c>
      <c r="T19" s="25" t="str">
        <f>IF(Table4[[#This Row],[Différence]]&lt;0,"Retournés","Déplacés")</f>
        <v>Déplacés</v>
      </c>
      <c r="U19" s="25" t="s">
        <v>591</v>
      </c>
      <c r="V19" s="25" t="str">
        <f>IF(Table4[[#This Row],[Evolution]]=0,"Non","Oui")</f>
        <v>Non</v>
      </c>
      <c r="W19" s="25" t="s">
        <v>725</v>
      </c>
      <c r="X19" s="42" t="s">
        <v>197</v>
      </c>
    </row>
    <row r="20" spans="1:24" s="9" customFormat="1" x14ac:dyDescent="0.3">
      <c r="A20" s="47">
        <v>15</v>
      </c>
      <c r="B20" s="25" t="s">
        <v>19</v>
      </c>
      <c r="C20" s="25" t="s">
        <v>18</v>
      </c>
      <c r="D20" s="25" t="s">
        <v>408</v>
      </c>
      <c r="E20" s="25" t="s">
        <v>256</v>
      </c>
      <c r="F20" s="25" t="s">
        <v>463</v>
      </c>
      <c r="G20" s="25" t="s">
        <v>318</v>
      </c>
      <c r="H20" s="25">
        <v>285</v>
      </c>
      <c r="I20" s="25">
        <v>57</v>
      </c>
      <c r="J20" s="25">
        <v>245</v>
      </c>
      <c r="K20" s="25">
        <v>49</v>
      </c>
      <c r="L20" s="25">
        <v>245</v>
      </c>
      <c r="M20" s="25">
        <v>49</v>
      </c>
      <c r="N20" s="25">
        <v>245</v>
      </c>
      <c r="O20" s="25">
        <v>49</v>
      </c>
      <c r="P20" s="25">
        <v>245</v>
      </c>
      <c r="Q20" s="25">
        <v>49</v>
      </c>
      <c r="R20" s="26">
        <f>IFERROR((Table4[[#This Row],[30.04.2025 Individus]]-Table4[[#This Row],[31.03.2025 Individus]])/Table4[[#This Row],[31.03.2025 Individus]],0)</f>
        <v>0</v>
      </c>
      <c r="S20" s="25">
        <f>Table4[[#This Row],[30.04.2025 Individus]]-Table4[[#This Row],[31.03.2025 Individus]]</f>
        <v>0</v>
      </c>
      <c r="T20" s="25" t="str">
        <f>IF(Table4[[#This Row],[Différence]]&lt;0,"Retournés","Déplacés")</f>
        <v>Déplacés</v>
      </c>
      <c r="U20" s="25" t="s">
        <v>591</v>
      </c>
      <c r="V20" s="25" t="str">
        <f>IF(Table4[[#This Row],[Evolution]]=0,"Non","Oui")</f>
        <v>Non</v>
      </c>
      <c r="W20" s="25" t="s">
        <v>725</v>
      </c>
      <c r="X20" s="42" t="s">
        <v>197</v>
      </c>
    </row>
    <row r="21" spans="1:24" s="9" customFormat="1" x14ac:dyDescent="0.3">
      <c r="A21" s="47">
        <v>16</v>
      </c>
      <c r="B21" s="25" t="s">
        <v>19</v>
      </c>
      <c r="C21" s="25" t="s">
        <v>18</v>
      </c>
      <c r="D21" s="25" t="s">
        <v>21</v>
      </c>
      <c r="E21" s="25" t="s">
        <v>20</v>
      </c>
      <c r="F21" s="25" t="s">
        <v>22</v>
      </c>
      <c r="G21" s="55" t="s">
        <v>20</v>
      </c>
      <c r="H21" s="25">
        <v>1629</v>
      </c>
      <c r="I21" s="25">
        <v>305</v>
      </c>
      <c r="J21" s="25">
        <v>1267</v>
      </c>
      <c r="K21" s="25">
        <v>253</v>
      </c>
      <c r="L21" s="25">
        <v>1267</v>
      </c>
      <c r="M21" s="25">
        <v>253</v>
      </c>
      <c r="N21" s="25">
        <v>1267</v>
      </c>
      <c r="O21" s="25">
        <v>253</v>
      </c>
      <c r="P21" s="25">
        <v>1267</v>
      </c>
      <c r="Q21" s="25">
        <v>253</v>
      </c>
      <c r="R21" s="26">
        <f>IFERROR((Table4[[#This Row],[30.04.2025 Individus]]-Table4[[#This Row],[31.03.2025 Individus]])/Table4[[#This Row],[31.03.2025 Individus]],0)</f>
        <v>0</v>
      </c>
      <c r="S21" s="25">
        <f>Table4[[#This Row],[30.04.2025 Individus]]-Table4[[#This Row],[31.03.2025 Individus]]</f>
        <v>0</v>
      </c>
      <c r="T21" s="25" t="str">
        <f>IF(Table4[[#This Row],[Différence]]&lt;0,"Retournés","Déplacés")</f>
        <v>Déplacés</v>
      </c>
      <c r="U21" s="25" t="s">
        <v>591</v>
      </c>
      <c r="V21" s="25" t="str">
        <f>IF(Table4[[#This Row],[Evolution]]=0,"Non","Oui")</f>
        <v>Non</v>
      </c>
      <c r="W21" s="25" t="s">
        <v>725</v>
      </c>
      <c r="X21" s="42" t="s">
        <v>197</v>
      </c>
    </row>
    <row r="22" spans="1:24" s="9" customFormat="1" x14ac:dyDescent="0.3">
      <c r="A22" s="47">
        <v>17</v>
      </c>
      <c r="B22" s="25" t="s">
        <v>19</v>
      </c>
      <c r="C22" s="25" t="s">
        <v>18</v>
      </c>
      <c r="D22" s="25" t="s">
        <v>21</v>
      </c>
      <c r="E22" s="25" t="s">
        <v>20</v>
      </c>
      <c r="F22" s="25" t="s">
        <v>457</v>
      </c>
      <c r="G22" s="25" t="s">
        <v>314</v>
      </c>
      <c r="H22" s="25">
        <v>0</v>
      </c>
      <c r="I22" s="25">
        <v>0</v>
      </c>
      <c r="J22" s="25">
        <v>0</v>
      </c>
      <c r="K22" s="25">
        <v>0</v>
      </c>
      <c r="L22" s="25">
        <v>0</v>
      </c>
      <c r="M22" s="25">
        <v>0</v>
      </c>
      <c r="N22" s="25">
        <v>0</v>
      </c>
      <c r="O22" s="25">
        <v>0</v>
      </c>
      <c r="P22" s="25">
        <v>0</v>
      </c>
      <c r="Q22" s="25">
        <v>0</v>
      </c>
      <c r="R22" s="26">
        <f>IFERROR((Table4[[#This Row],[30.04.2025 Individus]]-Table4[[#This Row],[31.03.2025 Individus]])/Table4[[#This Row],[31.03.2025 Individus]],0)</f>
        <v>0</v>
      </c>
      <c r="S22" s="25">
        <f>Table4[[#This Row],[30.04.2025 Individus]]-Table4[[#This Row],[31.03.2025 Individus]]</f>
        <v>0</v>
      </c>
      <c r="T22" s="25" t="str">
        <f>IF(Table4[[#This Row],[Différence]]&lt;0,"Retournés","Déplacés")</f>
        <v>Déplacés</v>
      </c>
      <c r="U22" s="25" t="s">
        <v>591</v>
      </c>
      <c r="V22" s="25" t="str">
        <f>IF(Table4[[#This Row],[Evolution]]=0,"Non","Oui")</f>
        <v>Non</v>
      </c>
      <c r="W22" s="25" t="s">
        <v>725</v>
      </c>
      <c r="X22" s="42" t="s">
        <v>197</v>
      </c>
    </row>
    <row r="23" spans="1:24" s="9" customFormat="1" x14ac:dyDescent="0.3">
      <c r="A23" s="47">
        <v>18</v>
      </c>
      <c r="B23" s="25" t="s">
        <v>19</v>
      </c>
      <c r="C23" s="25" t="s">
        <v>18</v>
      </c>
      <c r="D23" s="25" t="s">
        <v>21</v>
      </c>
      <c r="E23" s="25" t="s">
        <v>20</v>
      </c>
      <c r="F23" s="25" t="s">
        <v>459</v>
      </c>
      <c r="G23" s="25" t="s">
        <v>316</v>
      </c>
      <c r="H23" s="25">
        <v>50</v>
      </c>
      <c r="I23" s="25">
        <v>10</v>
      </c>
      <c r="J23" s="25">
        <v>0</v>
      </c>
      <c r="K23" s="25">
        <v>0</v>
      </c>
      <c r="L23" s="25">
        <v>0</v>
      </c>
      <c r="M23" s="25">
        <v>0</v>
      </c>
      <c r="N23" s="25">
        <v>0</v>
      </c>
      <c r="O23" s="25">
        <v>0</v>
      </c>
      <c r="P23" s="25">
        <v>0</v>
      </c>
      <c r="Q23" s="25">
        <v>0</v>
      </c>
      <c r="R23" s="26">
        <f>IFERROR((Table4[[#This Row],[30.04.2025 Individus]]-Table4[[#This Row],[31.03.2025 Individus]])/Table4[[#This Row],[31.03.2025 Individus]],0)</f>
        <v>0</v>
      </c>
      <c r="S23" s="25">
        <f>Table4[[#This Row],[30.04.2025 Individus]]-Table4[[#This Row],[31.03.2025 Individus]]</f>
        <v>0</v>
      </c>
      <c r="T23" s="25" t="str">
        <f>IF(Table4[[#This Row],[Différence]]&lt;0,"Retournés","Déplacés")</f>
        <v>Déplacés</v>
      </c>
      <c r="U23" s="25" t="s">
        <v>591</v>
      </c>
      <c r="V23" s="25" t="str">
        <f>IF(Table4[[#This Row],[Evolution]]=0,"Non","Oui")</f>
        <v>Non</v>
      </c>
      <c r="W23" s="25" t="s">
        <v>725</v>
      </c>
      <c r="X23" s="42" t="s">
        <v>197</v>
      </c>
    </row>
    <row r="24" spans="1:24" s="9" customFormat="1" x14ac:dyDescent="0.3">
      <c r="A24" s="47">
        <v>19</v>
      </c>
      <c r="B24" s="25" t="s">
        <v>19</v>
      </c>
      <c r="C24" s="25" t="s">
        <v>18</v>
      </c>
      <c r="D24" s="25" t="s">
        <v>21</v>
      </c>
      <c r="E24" s="25" t="s">
        <v>20</v>
      </c>
      <c r="F24" s="25" t="s">
        <v>456</v>
      </c>
      <c r="G24" s="25" t="s">
        <v>313</v>
      </c>
      <c r="H24" s="25">
        <v>0</v>
      </c>
      <c r="I24" s="25">
        <v>0</v>
      </c>
      <c r="J24" s="25">
        <v>900</v>
      </c>
      <c r="K24" s="25">
        <v>180</v>
      </c>
      <c r="L24" s="25">
        <v>900</v>
      </c>
      <c r="M24" s="25">
        <v>180</v>
      </c>
      <c r="N24" s="25">
        <f>900+945</f>
        <v>1845</v>
      </c>
      <c r="O24" s="25">
        <f>180+189</f>
        <v>369</v>
      </c>
      <c r="P24" s="25">
        <f>900+945</f>
        <v>1845</v>
      </c>
      <c r="Q24" s="25">
        <f>180+189</f>
        <v>369</v>
      </c>
      <c r="R24" s="26">
        <f>IFERROR((Table4[[#This Row],[30.04.2025 Individus]]-Table4[[#This Row],[31.03.2025 Individus]])/Table4[[#This Row],[31.03.2025 Individus]],0)</f>
        <v>0</v>
      </c>
      <c r="S24" s="25">
        <f>Table4[[#This Row],[30.04.2025 Individus]]-Table4[[#This Row],[31.03.2025 Individus]]</f>
        <v>0</v>
      </c>
      <c r="T24" s="25" t="str">
        <f>IF(Table4[[#This Row],[Différence]]&lt;0,"Retournés","Déplacés")</f>
        <v>Déplacés</v>
      </c>
      <c r="U24" s="25" t="s">
        <v>761</v>
      </c>
      <c r="V24" s="25" t="str">
        <f>IF(Table4[[#This Row],[Evolution]]=0,"Non","Oui")</f>
        <v>Non</v>
      </c>
      <c r="W24" s="25" t="s">
        <v>791</v>
      </c>
      <c r="X24" s="42" t="s">
        <v>737</v>
      </c>
    </row>
    <row r="25" spans="1:24" s="9" customFormat="1" x14ac:dyDescent="0.3">
      <c r="A25" s="47">
        <v>20</v>
      </c>
      <c r="B25" s="25" t="s">
        <v>19</v>
      </c>
      <c r="C25" s="25" t="s">
        <v>18</v>
      </c>
      <c r="D25" s="25" t="s">
        <v>21</v>
      </c>
      <c r="E25" s="25" t="s">
        <v>20</v>
      </c>
      <c r="F25" s="25" t="s">
        <v>458</v>
      </c>
      <c r="G25" s="25" t="s">
        <v>315</v>
      </c>
      <c r="H25" s="25">
        <v>0</v>
      </c>
      <c r="I25" s="25">
        <v>0</v>
      </c>
      <c r="J25" s="25">
        <v>0</v>
      </c>
      <c r="K25" s="25">
        <v>0</v>
      </c>
      <c r="L25" s="25">
        <v>0</v>
      </c>
      <c r="M25" s="25">
        <v>0</v>
      </c>
      <c r="N25" s="25">
        <v>0</v>
      </c>
      <c r="O25" s="25">
        <v>0</v>
      </c>
      <c r="P25" s="25">
        <v>0</v>
      </c>
      <c r="Q25" s="25">
        <v>0</v>
      </c>
      <c r="R25" s="26">
        <f>IFERROR((Table4[[#This Row],[30.04.2025 Individus]]-Table4[[#This Row],[31.03.2025 Individus]])/Table4[[#This Row],[31.03.2025 Individus]],0)</f>
        <v>0</v>
      </c>
      <c r="S25" s="25">
        <f>Table4[[#This Row],[30.04.2025 Individus]]-Table4[[#This Row],[31.03.2025 Individus]]</f>
        <v>0</v>
      </c>
      <c r="T25" s="25" t="str">
        <f>IF(Table4[[#This Row],[Différence]]&lt;0,"Retournés","Déplacés")</f>
        <v>Déplacés</v>
      </c>
      <c r="U25" s="25" t="s">
        <v>591</v>
      </c>
      <c r="V25" s="25" t="str">
        <f>IF(Table4[[#This Row],[Evolution]]=0,"Non","Oui")</f>
        <v>Non</v>
      </c>
      <c r="W25" s="25" t="s">
        <v>725</v>
      </c>
      <c r="X25" s="42" t="s">
        <v>197</v>
      </c>
    </row>
    <row r="26" spans="1:24" s="9" customFormat="1" x14ac:dyDescent="0.3">
      <c r="A26" s="47">
        <v>21</v>
      </c>
      <c r="B26" s="25" t="s">
        <v>19</v>
      </c>
      <c r="C26" s="25" t="s">
        <v>18</v>
      </c>
      <c r="D26" s="25" t="s">
        <v>407</v>
      </c>
      <c r="E26" s="25" t="s">
        <v>255</v>
      </c>
      <c r="F26" s="25" t="s">
        <v>460</v>
      </c>
      <c r="G26" s="25" t="s">
        <v>255</v>
      </c>
      <c r="H26" s="25">
        <v>345</v>
      </c>
      <c r="I26" s="25">
        <v>79</v>
      </c>
      <c r="J26" s="25">
        <v>345</v>
      </c>
      <c r="K26" s="25">
        <v>79</v>
      </c>
      <c r="L26" s="25">
        <v>345</v>
      </c>
      <c r="M26" s="25">
        <v>79</v>
      </c>
      <c r="N26" s="25">
        <v>345</v>
      </c>
      <c r="O26" s="25">
        <v>79</v>
      </c>
      <c r="P26" s="25">
        <v>345</v>
      </c>
      <c r="Q26" s="25">
        <v>79</v>
      </c>
      <c r="R26" s="26">
        <f>IFERROR((Table4[[#This Row],[30.04.2025 Individus]]-Table4[[#This Row],[31.03.2025 Individus]])/Table4[[#This Row],[31.03.2025 Individus]],0)</f>
        <v>0</v>
      </c>
      <c r="S26" s="25">
        <f>Table4[[#This Row],[30.04.2025 Individus]]-Table4[[#This Row],[31.03.2025 Individus]]</f>
        <v>0</v>
      </c>
      <c r="T26" s="25" t="str">
        <f>IF(Table4[[#This Row],[Différence]]&lt;0,"Retournés","Déplacés")</f>
        <v>Déplacés</v>
      </c>
      <c r="U26" s="25" t="s">
        <v>591</v>
      </c>
      <c r="V26" s="25" t="str">
        <f>IF(Table4[[#This Row],[Evolution]]=0,"Non","Oui")</f>
        <v>Non</v>
      </c>
      <c r="W26" s="25" t="s">
        <v>725</v>
      </c>
      <c r="X26" s="42" t="s">
        <v>197</v>
      </c>
    </row>
    <row r="27" spans="1:24" s="9" customFormat="1" x14ac:dyDescent="0.3">
      <c r="A27" s="47">
        <v>22</v>
      </c>
      <c r="B27" s="25" t="s">
        <v>19</v>
      </c>
      <c r="C27" s="25" t="s">
        <v>18</v>
      </c>
      <c r="D27" s="25" t="s">
        <v>407</v>
      </c>
      <c r="E27" s="25" t="s">
        <v>255</v>
      </c>
      <c r="F27" s="25" t="s">
        <v>461</v>
      </c>
      <c r="G27" s="25" t="s">
        <v>317</v>
      </c>
      <c r="H27" s="25">
        <v>0</v>
      </c>
      <c r="I27" s="25">
        <v>0</v>
      </c>
      <c r="J27" s="25">
        <v>0</v>
      </c>
      <c r="K27" s="25">
        <v>0</v>
      </c>
      <c r="L27" s="25">
        <v>0</v>
      </c>
      <c r="M27" s="25">
        <v>0</v>
      </c>
      <c r="N27" s="25">
        <v>0</v>
      </c>
      <c r="O27" s="25">
        <v>0</v>
      </c>
      <c r="P27" s="25">
        <v>0</v>
      </c>
      <c r="Q27" s="25">
        <v>0</v>
      </c>
      <c r="R27" s="26">
        <f>IFERROR((Table4[[#This Row],[30.04.2025 Individus]]-Table4[[#This Row],[31.03.2025 Individus]])/Table4[[#This Row],[31.03.2025 Individus]],0)</f>
        <v>0</v>
      </c>
      <c r="S27" s="25">
        <f>Table4[[#This Row],[30.04.2025 Individus]]-Table4[[#This Row],[31.03.2025 Individus]]</f>
        <v>0</v>
      </c>
      <c r="T27" s="25" t="str">
        <f>IF(Table4[[#This Row],[Différence]]&lt;0,"Retournés","Déplacés")</f>
        <v>Déplacés</v>
      </c>
      <c r="U27" s="25" t="s">
        <v>591</v>
      </c>
      <c r="V27" s="25" t="str">
        <f>IF(Table4[[#This Row],[Evolution]]=0,"Non","Oui")</f>
        <v>Non</v>
      </c>
      <c r="W27" s="25" t="s">
        <v>725</v>
      </c>
      <c r="X27" s="42" t="s">
        <v>197</v>
      </c>
    </row>
    <row r="28" spans="1:24" s="9" customFormat="1" x14ac:dyDescent="0.3">
      <c r="A28" s="47">
        <v>23</v>
      </c>
      <c r="B28" s="25" t="s">
        <v>19</v>
      </c>
      <c r="C28" s="25" t="s">
        <v>18</v>
      </c>
      <c r="D28" s="25" t="s">
        <v>409</v>
      </c>
      <c r="E28" s="25" t="s">
        <v>257</v>
      </c>
      <c r="F28" s="25" t="s">
        <v>701</v>
      </c>
      <c r="G28" s="25" t="s">
        <v>716</v>
      </c>
      <c r="H28" s="25">
        <v>0</v>
      </c>
      <c r="I28" s="25">
        <v>0</v>
      </c>
      <c r="J28" s="25">
        <v>0</v>
      </c>
      <c r="K28" s="25">
        <v>0</v>
      </c>
      <c r="L28" s="25">
        <v>0</v>
      </c>
      <c r="M28" s="25">
        <v>0</v>
      </c>
      <c r="N28" s="25">
        <v>0</v>
      </c>
      <c r="O28" s="25">
        <v>0</v>
      </c>
      <c r="P28" s="25">
        <v>0</v>
      </c>
      <c r="Q28" s="25">
        <v>0</v>
      </c>
      <c r="R28" s="26">
        <f>IFERROR((Table4[[#This Row],[30.04.2025 Individus]]-Table4[[#This Row],[31.03.2025 Individus]])/Table4[[#This Row],[31.03.2025 Individus]],0)</f>
        <v>0</v>
      </c>
      <c r="S28" s="25">
        <f>Table4[[#This Row],[30.04.2025 Individus]]-Table4[[#This Row],[31.03.2025 Individus]]</f>
        <v>0</v>
      </c>
      <c r="T28" s="25" t="str">
        <f>IF(Table4[[#This Row],[Différence]]&lt;0,"Retournés","Déplacés")</f>
        <v>Déplacés</v>
      </c>
      <c r="U28" s="25" t="s">
        <v>591</v>
      </c>
      <c r="V28" s="25" t="str">
        <f>IF(Table4[[#This Row],[Evolution]]=0,"Non","Oui")</f>
        <v>Non</v>
      </c>
      <c r="W28" s="25" t="s">
        <v>725</v>
      </c>
      <c r="X28" s="42" t="s">
        <v>197</v>
      </c>
    </row>
    <row r="29" spans="1:24" s="9" customFormat="1" x14ac:dyDescent="0.3">
      <c r="A29" s="47">
        <v>24</v>
      </c>
      <c r="B29" s="25" t="s">
        <v>19</v>
      </c>
      <c r="C29" s="25" t="s">
        <v>18</v>
      </c>
      <c r="D29" s="25" t="s">
        <v>409</v>
      </c>
      <c r="E29" s="25" t="s">
        <v>257</v>
      </c>
      <c r="F29" s="25" t="s">
        <v>464</v>
      </c>
      <c r="G29" s="25" t="s">
        <v>319</v>
      </c>
      <c r="H29" s="25">
        <v>3258</v>
      </c>
      <c r="I29" s="25">
        <v>719</v>
      </c>
      <c r="J29" s="25">
        <v>250</v>
      </c>
      <c r="K29" s="25">
        <v>50</v>
      </c>
      <c r="L29" s="25">
        <v>250</v>
      </c>
      <c r="M29" s="25">
        <v>50</v>
      </c>
      <c r="N29" s="25">
        <v>250</v>
      </c>
      <c r="O29" s="25">
        <v>50</v>
      </c>
      <c r="P29" s="25">
        <v>250</v>
      </c>
      <c r="Q29" s="25">
        <v>50</v>
      </c>
      <c r="R29" s="26">
        <f>IFERROR((Table4[[#This Row],[30.04.2025 Individus]]-Table4[[#This Row],[31.03.2025 Individus]])/Table4[[#This Row],[31.03.2025 Individus]],0)</f>
        <v>0</v>
      </c>
      <c r="S29" s="25">
        <f>Table4[[#This Row],[30.04.2025 Individus]]-Table4[[#This Row],[31.03.2025 Individus]]</f>
        <v>0</v>
      </c>
      <c r="T29" s="25" t="str">
        <f>IF(Table4[[#This Row],[Différence]]&lt;0,"Retournés","Déplacés")</f>
        <v>Déplacés</v>
      </c>
      <c r="U29" s="25" t="s">
        <v>591</v>
      </c>
      <c r="V29" s="25" t="str">
        <f>IF(Table4[[#This Row],[Evolution]]=0,"Non","Oui")</f>
        <v>Non</v>
      </c>
      <c r="W29" s="25" t="s">
        <v>725</v>
      </c>
      <c r="X29" s="42" t="s">
        <v>197</v>
      </c>
    </row>
    <row r="30" spans="1:24" s="9" customFormat="1" x14ac:dyDescent="0.3">
      <c r="A30" s="47">
        <v>25</v>
      </c>
      <c r="B30" s="25" t="s">
        <v>19</v>
      </c>
      <c r="C30" s="25" t="s">
        <v>18</v>
      </c>
      <c r="D30" s="25" t="s">
        <v>409</v>
      </c>
      <c r="E30" s="25" t="s">
        <v>257</v>
      </c>
      <c r="F30" s="25" t="s">
        <v>699</v>
      </c>
      <c r="G30" s="25" t="s">
        <v>715</v>
      </c>
      <c r="H30" s="25">
        <v>0</v>
      </c>
      <c r="I30" s="25">
        <v>0</v>
      </c>
      <c r="J30" s="25">
        <v>0</v>
      </c>
      <c r="K30" s="25">
        <v>0</v>
      </c>
      <c r="L30" s="25">
        <v>0</v>
      </c>
      <c r="M30" s="25">
        <v>0</v>
      </c>
      <c r="N30" s="25">
        <v>0</v>
      </c>
      <c r="O30" s="25">
        <v>0</v>
      </c>
      <c r="P30" s="25">
        <v>0</v>
      </c>
      <c r="Q30" s="25">
        <v>0</v>
      </c>
      <c r="R30" s="26">
        <f>IFERROR((Table4[[#This Row],[30.04.2025 Individus]]-Table4[[#This Row],[31.03.2025 Individus]])/Table4[[#This Row],[31.03.2025 Individus]],0)</f>
        <v>0</v>
      </c>
      <c r="S30" s="25">
        <f>Table4[[#This Row],[30.04.2025 Individus]]-Table4[[#This Row],[31.03.2025 Individus]]</f>
        <v>0</v>
      </c>
      <c r="T30" s="25" t="str">
        <f>IF(Table4[[#This Row],[Différence]]&lt;0,"Retournés","Déplacés")</f>
        <v>Déplacés</v>
      </c>
      <c r="U30" s="25" t="s">
        <v>591</v>
      </c>
      <c r="V30" s="25" t="str">
        <f>IF(Table4[[#This Row],[Evolution]]=0,"Non","Oui")</f>
        <v>Non</v>
      </c>
      <c r="W30" s="25" t="s">
        <v>725</v>
      </c>
      <c r="X30" s="42" t="s">
        <v>197</v>
      </c>
    </row>
    <row r="31" spans="1:24" s="9" customFormat="1" x14ac:dyDescent="0.3">
      <c r="A31" s="47">
        <v>26</v>
      </c>
      <c r="B31" s="25" t="s">
        <v>19</v>
      </c>
      <c r="C31" s="25" t="s">
        <v>18</v>
      </c>
      <c r="D31" s="25" t="s">
        <v>411</v>
      </c>
      <c r="E31" s="25" t="s">
        <v>259</v>
      </c>
      <c r="F31" s="25" t="s">
        <v>467</v>
      </c>
      <c r="G31" s="25" t="s">
        <v>322</v>
      </c>
      <c r="H31" s="25">
        <v>9205</v>
      </c>
      <c r="I31" s="25">
        <v>1841</v>
      </c>
      <c r="J31" s="25">
        <v>9371</v>
      </c>
      <c r="K31" s="25">
        <v>1550</v>
      </c>
      <c r="L31" s="25">
        <v>9371</v>
      </c>
      <c r="M31" s="25">
        <v>1550</v>
      </c>
      <c r="N31" s="25">
        <v>9371</v>
      </c>
      <c r="O31" s="25">
        <v>1550</v>
      </c>
      <c r="P31" s="25">
        <v>9371</v>
      </c>
      <c r="Q31" s="25">
        <v>1550</v>
      </c>
      <c r="R31" s="26">
        <f>IFERROR((Table4[[#This Row],[30.04.2025 Individus]]-Table4[[#This Row],[31.03.2025 Individus]])/Table4[[#This Row],[31.03.2025 Individus]],0)</f>
        <v>0</v>
      </c>
      <c r="S31" s="25">
        <f>Table4[[#This Row],[30.04.2025 Individus]]-Table4[[#This Row],[31.03.2025 Individus]]</f>
        <v>0</v>
      </c>
      <c r="T31" s="25" t="str">
        <f>IF(Table4[[#This Row],[Différence]]&lt;0,"Retournés","Déplacés")</f>
        <v>Déplacés</v>
      </c>
      <c r="U31" s="25" t="s">
        <v>591</v>
      </c>
      <c r="V31" s="25" t="str">
        <f>IF(Table4[[#This Row],[Evolution]]=0,"Non","Oui")</f>
        <v>Non</v>
      </c>
      <c r="W31" s="25" t="s">
        <v>727</v>
      </c>
      <c r="X31" s="42" t="s">
        <v>201</v>
      </c>
    </row>
    <row r="32" spans="1:24" s="9" customFormat="1" x14ac:dyDescent="0.3">
      <c r="A32" s="47">
        <v>27</v>
      </c>
      <c r="B32" s="25" t="s">
        <v>19</v>
      </c>
      <c r="C32" s="25" t="s">
        <v>18</v>
      </c>
      <c r="D32" s="25" t="s">
        <v>411</v>
      </c>
      <c r="E32" s="25" t="s">
        <v>259</v>
      </c>
      <c r="F32" s="25" t="s">
        <v>466</v>
      </c>
      <c r="G32" s="25" t="s">
        <v>321</v>
      </c>
      <c r="H32" s="25">
        <v>3685</v>
      </c>
      <c r="I32" s="25">
        <v>736</v>
      </c>
      <c r="J32" s="25">
        <v>3995</v>
      </c>
      <c r="K32" s="25">
        <v>787</v>
      </c>
      <c r="L32" s="25">
        <v>3995</v>
      </c>
      <c r="M32" s="25">
        <v>787</v>
      </c>
      <c r="N32" s="25">
        <v>3995</v>
      </c>
      <c r="O32" s="25">
        <v>787</v>
      </c>
      <c r="P32" s="25">
        <v>3995</v>
      </c>
      <c r="Q32" s="25">
        <v>787</v>
      </c>
      <c r="R32" s="26">
        <f>IFERROR((Table4[[#This Row],[30.04.2025 Individus]]-Table4[[#This Row],[31.03.2025 Individus]])/Table4[[#This Row],[31.03.2025 Individus]],0)</f>
        <v>0</v>
      </c>
      <c r="S32" s="25">
        <f>Table4[[#This Row],[30.04.2025 Individus]]-Table4[[#This Row],[31.03.2025 Individus]]</f>
        <v>0</v>
      </c>
      <c r="T32" s="25" t="str">
        <f>IF(Table4[[#This Row],[Différence]]&lt;0,"Retournés","Déplacés")</f>
        <v>Déplacés</v>
      </c>
      <c r="U32" s="25" t="s">
        <v>591</v>
      </c>
      <c r="V32" s="25" t="str">
        <f>IF(Table4[[#This Row],[Evolution]]=0,"Non","Oui")</f>
        <v>Non</v>
      </c>
      <c r="W32" s="25" t="s">
        <v>725</v>
      </c>
      <c r="X32" s="42" t="s">
        <v>197</v>
      </c>
    </row>
    <row r="33" spans="1:24" s="9" customFormat="1" x14ac:dyDescent="0.3">
      <c r="A33" s="47">
        <v>28</v>
      </c>
      <c r="B33" s="25" t="s">
        <v>19</v>
      </c>
      <c r="C33" s="25" t="s">
        <v>18</v>
      </c>
      <c r="D33" s="25" t="s">
        <v>410</v>
      </c>
      <c r="E33" s="25" t="s">
        <v>258</v>
      </c>
      <c r="F33" s="25" t="s">
        <v>465</v>
      </c>
      <c r="G33" s="25" t="s">
        <v>320</v>
      </c>
      <c r="H33" s="25">
        <v>230</v>
      </c>
      <c r="I33" s="25">
        <v>46</v>
      </c>
      <c r="J33" s="25">
        <v>988</v>
      </c>
      <c r="K33" s="25">
        <v>175</v>
      </c>
      <c r="L33" s="25">
        <v>988</v>
      </c>
      <c r="M33" s="25">
        <v>175</v>
      </c>
      <c r="N33" s="25">
        <v>988</v>
      </c>
      <c r="O33" s="25">
        <v>175</v>
      </c>
      <c r="P33" s="25">
        <v>988</v>
      </c>
      <c r="Q33" s="25">
        <v>175</v>
      </c>
      <c r="R33" s="26">
        <f>IFERROR((Table4[[#This Row],[30.04.2025 Individus]]-Table4[[#This Row],[31.03.2025 Individus]])/Table4[[#This Row],[31.03.2025 Individus]],0)</f>
        <v>0</v>
      </c>
      <c r="S33" s="25">
        <f>Table4[[#This Row],[30.04.2025 Individus]]-Table4[[#This Row],[31.03.2025 Individus]]</f>
        <v>0</v>
      </c>
      <c r="T33" s="25" t="str">
        <f>IF(Table4[[#This Row],[Différence]]&lt;0,"Retournés","Déplacés")</f>
        <v>Déplacés</v>
      </c>
      <c r="U33" s="25" t="s">
        <v>591</v>
      </c>
      <c r="V33" s="25" t="str">
        <f>IF(Table4[[#This Row],[Evolution]]=0,"Non","Oui")</f>
        <v>Non</v>
      </c>
      <c r="W33" s="25" t="s">
        <v>725</v>
      </c>
      <c r="X33" s="42" t="s">
        <v>197</v>
      </c>
    </row>
    <row r="34" spans="1:24" s="9" customFormat="1" x14ac:dyDescent="0.3">
      <c r="A34" s="47">
        <v>29</v>
      </c>
      <c r="B34" s="25" t="s">
        <v>31</v>
      </c>
      <c r="C34" s="25" t="s">
        <v>30</v>
      </c>
      <c r="D34" s="25" t="s">
        <v>33</v>
      </c>
      <c r="E34" s="25" t="s">
        <v>32</v>
      </c>
      <c r="F34" s="25" t="s">
        <v>35</v>
      </c>
      <c r="G34" s="25" t="s">
        <v>34</v>
      </c>
      <c r="H34" s="25">
        <v>11477</v>
      </c>
      <c r="I34" s="25">
        <v>2367</v>
      </c>
      <c r="J34" s="25">
        <v>10599</v>
      </c>
      <c r="K34" s="25">
        <v>2198</v>
      </c>
      <c r="L34" s="25">
        <v>10599</v>
      </c>
      <c r="M34" s="25">
        <v>2198</v>
      </c>
      <c r="N34" s="25">
        <v>10599</v>
      </c>
      <c r="O34" s="25">
        <v>2198</v>
      </c>
      <c r="P34" s="25">
        <v>10599</v>
      </c>
      <c r="Q34" s="25">
        <v>2198</v>
      </c>
      <c r="R34" s="26">
        <f>IFERROR((Table4[[#This Row],[30.04.2025 Individus]]-Table4[[#This Row],[31.03.2025 Individus]])/Table4[[#This Row],[31.03.2025 Individus]],0)</f>
        <v>0</v>
      </c>
      <c r="S34" s="25">
        <f>Table4[[#This Row],[30.04.2025 Individus]]-Table4[[#This Row],[31.03.2025 Individus]]</f>
        <v>0</v>
      </c>
      <c r="T34" s="25" t="str">
        <f>IF(Table4[[#This Row],[Différence]]&lt;0,"Retournés","Déplacés")</f>
        <v>Déplacés</v>
      </c>
      <c r="U34" s="25" t="s">
        <v>591</v>
      </c>
      <c r="V34" s="25" t="str">
        <f>IF(Table4[[#This Row],[Evolution]]=0,"Non","Oui")</f>
        <v>Non</v>
      </c>
      <c r="W34" s="25" t="s">
        <v>725</v>
      </c>
      <c r="X34" s="42" t="s">
        <v>197</v>
      </c>
    </row>
    <row r="35" spans="1:24" s="9" customFormat="1" x14ac:dyDescent="0.3">
      <c r="A35" s="47">
        <v>30</v>
      </c>
      <c r="B35" s="25" t="s">
        <v>31</v>
      </c>
      <c r="C35" s="25" t="s">
        <v>30</v>
      </c>
      <c r="D35" s="25" t="s">
        <v>33</v>
      </c>
      <c r="E35" s="25" t="s">
        <v>32</v>
      </c>
      <c r="F35" s="25" t="s">
        <v>470</v>
      </c>
      <c r="G35" s="25" t="s">
        <v>325</v>
      </c>
      <c r="H35" s="25">
        <v>202</v>
      </c>
      <c r="I35" s="25">
        <v>37</v>
      </c>
      <c r="J35" s="25">
        <v>208</v>
      </c>
      <c r="K35" s="25">
        <v>38</v>
      </c>
      <c r="L35" s="25">
        <v>208</v>
      </c>
      <c r="M35" s="25">
        <v>38</v>
      </c>
      <c r="N35" s="25">
        <v>208</v>
      </c>
      <c r="O35" s="25">
        <v>38</v>
      </c>
      <c r="P35" s="25">
        <v>208</v>
      </c>
      <c r="Q35" s="25">
        <v>38</v>
      </c>
      <c r="R35" s="26">
        <f>IFERROR((Table4[[#This Row],[30.04.2025 Individus]]-Table4[[#This Row],[31.03.2025 Individus]])/Table4[[#This Row],[31.03.2025 Individus]],0)</f>
        <v>0</v>
      </c>
      <c r="S35" s="25">
        <f>Table4[[#This Row],[30.04.2025 Individus]]-Table4[[#This Row],[31.03.2025 Individus]]</f>
        <v>0</v>
      </c>
      <c r="T35" s="25" t="str">
        <f>IF(Table4[[#This Row],[Différence]]&lt;0,"Retournés","Déplacés")</f>
        <v>Déplacés</v>
      </c>
      <c r="U35" s="25" t="s">
        <v>591</v>
      </c>
      <c r="V35" s="25" t="str">
        <f>IF(Table4[[#This Row],[Evolution]]=0,"Non","Oui")</f>
        <v>Non</v>
      </c>
      <c r="W35" s="25" t="s">
        <v>725</v>
      </c>
      <c r="X35" s="42" t="s">
        <v>197</v>
      </c>
    </row>
    <row r="36" spans="1:24" s="9" customFormat="1" x14ac:dyDescent="0.3">
      <c r="A36" s="47">
        <v>31</v>
      </c>
      <c r="B36" s="25" t="s">
        <v>31</v>
      </c>
      <c r="C36" s="25" t="s">
        <v>30</v>
      </c>
      <c r="D36" s="25" t="s">
        <v>33</v>
      </c>
      <c r="E36" s="25" t="s">
        <v>32</v>
      </c>
      <c r="F36" s="25" t="s">
        <v>469</v>
      </c>
      <c r="G36" s="25" t="s">
        <v>324</v>
      </c>
      <c r="H36" s="25">
        <v>102</v>
      </c>
      <c r="I36" s="25">
        <v>18</v>
      </c>
      <c r="J36" s="25">
        <v>102</v>
      </c>
      <c r="K36" s="25">
        <v>18</v>
      </c>
      <c r="L36" s="25">
        <v>102</v>
      </c>
      <c r="M36" s="25">
        <v>18</v>
      </c>
      <c r="N36" s="25">
        <v>102</v>
      </c>
      <c r="O36" s="25">
        <v>18</v>
      </c>
      <c r="P36" s="25">
        <v>102</v>
      </c>
      <c r="Q36" s="25">
        <v>18</v>
      </c>
      <c r="R36" s="26">
        <f>IFERROR((Table4[[#This Row],[30.04.2025 Individus]]-Table4[[#This Row],[31.03.2025 Individus]])/Table4[[#This Row],[31.03.2025 Individus]],0)</f>
        <v>0</v>
      </c>
      <c r="S36" s="25">
        <f>Table4[[#This Row],[30.04.2025 Individus]]-Table4[[#This Row],[31.03.2025 Individus]]</f>
        <v>0</v>
      </c>
      <c r="T36" s="25" t="str">
        <f>IF(Table4[[#This Row],[Différence]]&lt;0,"Retournés","Déplacés")</f>
        <v>Déplacés</v>
      </c>
      <c r="U36" s="25" t="s">
        <v>591</v>
      </c>
      <c r="V36" s="25" t="str">
        <f>IF(Table4[[#This Row],[Evolution]]=0,"Non","Oui")</f>
        <v>Non</v>
      </c>
      <c r="W36" s="25" t="s">
        <v>725</v>
      </c>
      <c r="X36" s="42" t="s">
        <v>197</v>
      </c>
    </row>
    <row r="37" spans="1:24" s="9" customFormat="1" x14ac:dyDescent="0.3">
      <c r="A37" s="47">
        <v>32</v>
      </c>
      <c r="B37" s="25" t="s">
        <v>31</v>
      </c>
      <c r="C37" s="25" t="s">
        <v>30</v>
      </c>
      <c r="D37" s="25" t="s">
        <v>413</v>
      </c>
      <c r="E37" s="25" t="s">
        <v>261</v>
      </c>
      <c r="F37" s="25" t="s">
        <v>471</v>
      </c>
      <c r="G37" s="25" t="s">
        <v>261</v>
      </c>
      <c r="H37" s="25">
        <v>1165</v>
      </c>
      <c r="I37" s="25">
        <v>207</v>
      </c>
      <c r="J37" s="25">
        <v>804</v>
      </c>
      <c r="K37" s="25">
        <v>134</v>
      </c>
      <c r="L37" s="25">
        <v>804</v>
      </c>
      <c r="M37" s="25">
        <v>134</v>
      </c>
      <c r="N37" s="25">
        <v>804</v>
      </c>
      <c r="O37" s="25">
        <v>134</v>
      </c>
      <c r="P37" s="25">
        <v>804</v>
      </c>
      <c r="Q37" s="25">
        <v>134</v>
      </c>
      <c r="R37" s="26">
        <f>IFERROR((Table4[[#This Row],[30.04.2025 Individus]]-Table4[[#This Row],[31.03.2025 Individus]])/Table4[[#This Row],[31.03.2025 Individus]],0)</f>
        <v>0</v>
      </c>
      <c r="S37" s="25">
        <f>Table4[[#This Row],[30.04.2025 Individus]]-Table4[[#This Row],[31.03.2025 Individus]]</f>
        <v>0</v>
      </c>
      <c r="T37" s="25" t="str">
        <f>IF(Table4[[#This Row],[Différence]]&lt;0,"Retournés","Déplacés")</f>
        <v>Déplacés</v>
      </c>
      <c r="U37" s="25" t="s">
        <v>591</v>
      </c>
      <c r="V37" s="25" t="str">
        <f>IF(Table4[[#This Row],[Evolution]]=0,"Non","Oui")</f>
        <v>Non</v>
      </c>
      <c r="W37" s="25" t="s">
        <v>725</v>
      </c>
      <c r="X37" s="42" t="s">
        <v>197</v>
      </c>
    </row>
    <row r="38" spans="1:24" s="9" customFormat="1" x14ac:dyDescent="0.3">
      <c r="A38" s="47">
        <v>33</v>
      </c>
      <c r="B38" s="25" t="s">
        <v>31</v>
      </c>
      <c r="C38" s="25" t="s">
        <v>30</v>
      </c>
      <c r="D38" s="25" t="s">
        <v>680</v>
      </c>
      <c r="E38" s="25" t="s">
        <v>326</v>
      </c>
      <c r="F38" s="25" t="s">
        <v>639</v>
      </c>
      <c r="G38" s="25" t="s">
        <v>326</v>
      </c>
      <c r="H38" s="25">
        <v>636</v>
      </c>
      <c r="I38" s="25">
        <v>110</v>
      </c>
      <c r="J38" s="25">
        <v>350</v>
      </c>
      <c r="K38" s="25">
        <v>59</v>
      </c>
      <c r="L38" s="25">
        <v>350</v>
      </c>
      <c r="M38" s="25">
        <v>59</v>
      </c>
      <c r="N38" s="25">
        <v>350</v>
      </c>
      <c r="O38" s="25">
        <v>59</v>
      </c>
      <c r="P38" s="25">
        <v>350</v>
      </c>
      <c r="Q38" s="25">
        <v>59</v>
      </c>
      <c r="R38" s="26">
        <f>IFERROR((Table4[[#This Row],[30.04.2025 Individus]]-Table4[[#This Row],[31.03.2025 Individus]])/Table4[[#This Row],[31.03.2025 Individus]],0)</f>
        <v>0</v>
      </c>
      <c r="S38" s="25">
        <f>Table4[[#This Row],[30.04.2025 Individus]]-Table4[[#This Row],[31.03.2025 Individus]]</f>
        <v>0</v>
      </c>
      <c r="T38" s="25" t="str">
        <f>IF(Table4[[#This Row],[Différence]]&lt;0,"Retournés","Déplacés")</f>
        <v>Déplacés</v>
      </c>
      <c r="U38" s="25" t="s">
        <v>591</v>
      </c>
      <c r="V38" s="25" t="str">
        <f>IF(Table4[[#This Row],[Evolution]]=0,"Non","Oui")</f>
        <v>Non</v>
      </c>
      <c r="W38" s="25" t="s">
        <v>725</v>
      </c>
      <c r="X38" s="42" t="s">
        <v>197</v>
      </c>
    </row>
    <row r="39" spans="1:24" s="9" customFormat="1" x14ac:dyDescent="0.3">
      <c r="A39" s="47">
        <v>34</v>
      </c>
      <c r="B39" s="25" t="s">
        <v>31</v>
      </c>
      <c r="C39" s="25" t="s">
        <v>30</v>
      </c>
      <c r="D39" s="25" t="s">
        <v>414</v>
      </c>
      <c r="E39" s="25" t="s">
        <v>262</v>
      </c>
      <c r="F39" s="25" t="s">
        <v>472</v>
      </c>
      <c r="G39" s="25" t="s">
        <v>262</v>
      </c>
      <c r="H39" s="25">
        <v>52</v>
      </c>
      <c r="I39" s="25">
        <v>9</v>
      </c>
      <c r="J39" s="25">
        <v>64</v>
      </c>
      <c r="K39" s="25">
        <v>11</v>
      </c>
      <c r="L39" s="25">
        <v>64</v>
      </c>
      <c r="M39" s="25">
        <v>11</v>
      </c>
      <c r="N39" s="25">
        <v>64</v>
      </c>
      <c r="O39" s="25">
        <v>11</v>
      </c>
      <c r="P39" s="25">
        <v>64</v>
      </c>
      <c r="Q39" s="25">
        <v>11</v>
      </c>
      <c r="R39" s="26">
        <f>IFERROR((Table4[[#This Row],[30.04.2025 Individus]]-Table4[[#This Row],[31.03.2025 Individus]])/Table4[[#This Row],[31.03.2025 Individus]],0)</f>
        <v>0</v>
      </c>
      <c r="S39" s="25">
        <f>Table4[[#This Row],[30.04.2025 Individus]]-Table4[[#This Row],[31.03.2025 Individus]]</f>
        <v>0</v>
      </c>
      <c r="T39" s="25" t="str">
        <f>IF(Table4[[#This Row],[Différence]]&lt;0,"Retournés","Déplacés")</f>
        <v>Déplacés</v>
      </c>
      <c r="U39" s="25" t="s">
        <v>591</v>
      </c>
      <c r="V39" s="25" t="str">
        <f>IF(Table4[[#This Row],[Evolution]]=0,"Non","Oui")</f>
        <v>Non</v>
      </c>
      <c r="W39" s="25" t="s">
        <v>725</v>
      </c>
      <c r="X39" s="42" t="s">
        <v>197</v>
      </c>
    </row>
    <row r="40" spans="1:24" s="9" customFormat="1" x14ac:dyDescent="0.3">
      <c r="A40" s="47">
        <v>35</v>
      </c>
      <c r="B40" s="25" t="s">
        <v>38</v>
      </c>
      <c r="C40" s="25" t="s">
        <v>37</v>
      </c>
      <c r="D40" s="25" t="s">
        <v>45</v>
      </c>
      <c r="E40" s="25" t="s">
        <v>44</v>
      </c>
      <c r="F40" s="25" t="s">
        <v>46</v>
      </c>
      <c r="G40" s="25" t="s">
        <v>44</v>
      </c>
      <c r="H40" s="25">
        <v>2874</v>
      </c>
      <c r="I40" s="25">
        <v>705</v>
      </c>
      <c r="J40" s="25">
        <v>2815</v>
      </c>
      <c r="K40" s="25">
        <v>688</v>
      </c>
      <c r="L40" s="25">
        <v>2815</v>
      </c>
      <c r="M40" s="25">
        <v>688</v>
      </c>
      <c r="N40" s="25">
        <v>2815</v>
      </c>
      <c r="O40" s="25">
        <v>688</v>
      </c>
      <c r="P40" s="25">
        <v>2815</v>
      </c>
      <c r="Q40" s="25">
        <v>688</v>
      </c>
      <c r="R40" s="26">
        <f>IFERROR((Table4[[#This Row],[30.04.2025 Individus]]-Table4[[#This Row],[31.03.2025 Individus]])/Table4[[#This Row],[31.03.2025 Individus]],0)</f>
        <v>0</v>
      </c>
      <c r="S40" s="25">
        <f>Table4[[#This Row],[30.04.2025 Individus]]-Table4[[#This Row],[31.03.2025 Individus]]</f>
        <v>0</v>
      </c>
      <c r="T40" s="25" t="str">
        <f>IF(Table4[[#This Row],[Différence]]&lt;0,"Retournés","Déplacés")</f>
        <v>Déplacés</v>
      </c>
      <c r="U40" s="25" t="s">
        <v>761</v>
      </c>
      <c r="V40" s="25" t="str">
        <f>IF(Table4[[#This Row],[Evolution]]=0,"Non","Oui")</f>
        <v>Non</v>
      </c>
      <c r="W40" s="25" t="s">
        <v>726</v>
      </c>
      <c r="X40" s="42" t="s">
        <v>199</v>
      </c>
    </row>
    <row r="41" spans="1:24" s="9" customFormat="1" x14ac:dyDescent="0.3">
      <c r="A41" s="47">
        <v>36</v>
      </c>
      <c r="B41" s="25" t="s">
        <v>38</v>
      </c>
      <c r="C41" s="25" t="s">
        <v>37</v>
      </c>
      <c r="D41" s="25" t="s">
        <v>674</v>
      </c>
      <c r="E41" s="55" t="s">
        <v>51</v>
      </c>
      <c r="F41" s="25" t="s">
        <v>618</v>
      </c>
      <c r="G41" s="25" t="s">
        <v>51</v>
      </c>
      <c r="H41" s="25">
        <v>1688</v>
      </c>
      <c r="I41" s="25">
        <v>394</v>
      </c>
      <c r="J41" s="25">
        <v>0</v>
      </c>
      <c r="K41" s="25">
        <v>0</v>
      </c>
      <c r="L41" s="25">
        <v>0</v>
      </c>
      <c r="M41" s="25">
        <v>0</v>
      </c>
      <c r="N41" s="25">
        <v>0</v>
      </c>
      <c r="O41" s="25">
        <v>0</v>
      </c>
      <c r="P41" s="25">
        <v>0</v>
      </c>
      <c r="Q41" s="25">
        <v>0</v>
      </c>
      <c r="R41" s="26">
        <f>IFERROR((Table4[[#This Row],[30.04.2025 Individus]]-Table4[[#This Row],[31.03.2025 Individus]])/Table4[[#This Row],[31.03.2025 Individus]],0)</f>
        <v>0</v>
      </c>
      <c r="S41" s="25">
        <f>Table4[[#This Row],[30.04.2025 Individus]]-Table4[[#This Row],[31.03.2025 Individus]]</f>
        <v>0</v>
      </c>
      <c r="T41" s="25" t="str">
        <f>IF(Table4[[#This Row],[Différence]]&lt;0,"Retournés","Déplacés")</f>
        <v>Déplacés</v>
      </c>
      <c r="U41" s="25" t="s">
        <v>591</v>
      </c>
      <c r="V41" s="25" t="str">
        <f>IF(Table4[[#This Row],[Evolution]]=0,"Non","Oui")</f>
        <v>Non</v>
      </c>
      <c r="W41" s="25" t="s">
        <v>725</v>
      </c>
      <c r="X41" s="42" t="s">
        <v>197</v>
      </c>
    </row>
    <row r="42" spans="1:24" s="9" customFormat="1" x14ac:dyDescent="0.3">
      <c r="A42" s="47">
        <v>37</v>
      </c>
      <c r="B42" s="25" t="s">
        <v>38</v>
      </c>
      <c r="C42" s="25" t="s">
        <v>37</v>
      </c>
      <c r="D42" s="25" t="s">
        <v>412</v>
      </c>
      <c r="E42" s="25" t="s">
        <v>260</v>
      </c>
      <c r="F42" s="25" t="s">
        <v>468</v>
      </c>
      <c r="G42" s="25" t="s">
        <v>323</v>
      </c>
      <c r="H42" s="25">
        <v>870</v>
      </c>
      <c r="I42" s="25">
        <v>207</v>
      </c>
      <c r="J42" s="25">
        <v>853</v>
      </c>
      <c r="K42" s="25">
        <v>201</v>
      </c>
      <c r="L42" s="25">
        <v>853</v>
      </c>
      <c r="M42" s="25">
        <v>201</v>
      </c>
      <c r="N42" s="25">
        <v>257</v>
      </c>
      <c r="O42" s="25">
        <v>43</v>
      </c>
      <c r="P42" s="25">
        <v>257</v>
      </c>
      <c r="Q42" s="25">
        <v>43</v>
      </c>
      <c r="R42" s="26">
        <f>IFERROR((Table4[[#This Row],[30.04.2025 Individus]]-Table4[[#This Row],[31.03.2025 Individus]])/Table4[[#This Row],[31.03.2025 Individus]],0)</f>
        <v>0</v>
      </c>
      <c r="S42" s="25">
        <f>Table4[[#This Row],[30.04.2025 Individus]]-Table4[[#This Row],[31.03.2025 Individus]]</f>
        <v>0</v>
      </c>
      <c r="T42" s="25" t="str">
        <f>IF(Table4[[#This Row],[Différence]]&lt;0,"Retournés","Déplacés")</f>
        <v>Déplacés</v>
      </c>
      <c r="U42" s="25" t="s">
        <v>761</v>
      </c>
      <c r="V42" s="25" t="str">
        <f>IF(Table4[[#This Row],[Evolution]]=0,"Non","Oui")</f>
        <v>Non</v>
      </c>
      <c r="W42" s="25" t="s">
        <v>762</v>
      </c>
      <c r="X42" s="42" t="s">
        <v>199</v>
      </c>
    </row>
    <row r="43" spans="1:24" s="9" customFormat="1" x14ac:dyDescent="0.3">
      <c r="A43" s="47">
        <v>38</v>
      </c>
      <c r="B43" s="25" t="s">
        <v>38</v>
      </c>
      <c r="C43" s="25" t="s">
        <v>37</v>
      </c>
      <c r="D43" s="25" t="s">
        <v>40</v>
      </c>
      <c r="E43" s="25" t="s">
        <v>39</v>
      </c>
      <c r="F43" s="25" t="s">
        <v>41</v>
      </c>
      <c r="G43" s="25" t="s">
        <v>39</v>
      </c>
      <c r="H43" s="25">
        <v>6889</v>
      </c>
      <c r="I43" s="25">
        <v>1471</v>
      </c>
      <c r="J43" s="25">
        <v>1451</v>
      </c>
      <c r="K43" s="25">
        <v>264</v>
      </c>
      <c r="L43" s="25">
        <v>1451</v>
      </c>
      <c r="M43" s="25">
        <v>264</v>
      </c>
      <c r="N43" s="25">
        <v>1451</v>
      </c>
      <c r="O43" s="25">
        <v>264</v>
      </c>
      <c r="P43" s="25">
        <v>1451</v>
      </c>
      <c r="Q43" s="25">
        <v>264</v>
      </c>
      <c r="R43" s="26">
        <f>IFERROR((Table4[[#This Row],[30.04.2025 Individus]]-Table4[[#This Row],[31.03.2025 Individus]])/Table4[[#This Row],[31.03.2025 Individus]],0)</f>
        <v>0</v>
      </c>
      <c r="S43" s="25">
        <f>Table4[[#This Row],[30.04.2025 Individus]]-Table4[[#This Row],[31.03.2025 Individus]]</f>
        <v>0</v>
      </c>
      <c r="T43" s="25" t="str">
        <f>IF(Table4[[#This Row],[Différence]]&lt;0,"Retournés","Déplacés")</f>
        <v>Déplacés</v>
      </c>
      <c r="U43" s="25" t="s">
        <v>591</v>
      </c>
      <c r="V43" s="25" t="str">
        <f>IF(Table4[[#This Row],[Evolution]]=0,"Non","Oui")</f>
        <v>Non</v>
      </c>
      <c r="W43" s="25" t="s">
        <v>725</v>
      </c>
      <c r="X43" s="42" t="s">
        <v>197</v>
      </c>
    </row>
    <row r="44" spans="1:24" s="9" customFormat="1" x14ac:dyDescent="0.3">
      <c r="A44" s="47">
        <v>39</v>
      </c>
      <c r="B44" s="25" t="s">
        <v>38</v>
      </c>
      <c r="C44" s="25" t="s">
        <v>37</v>
      </c>
      <c r="D44" s="25" t="s">
        <v>55</v>
      </c>
      <c r="E44" s="25" t="s">
        <v>54</v>
      </c>
      <c r="F44" s="25" t="s">
        <v>56</v>
      </c>
      <c r="G44" s="25" t="s">
        <v>54</v>
      </c>
      <c r="H44" s="25">
        <v>296</v>
      </c>
      <c r="I44" s="25">
        <v>55</v>
      </c>
      <c r="J44" s="25">
        <v>246</v>
      </c>
      <c r="K44" s="25">
        <v>47</v>
      </c>
      <c r="L44" s="25">
        <v>246</v>
      </c>
      <c r="M44" s="25">
        <v>47</v>
      </c>
      <c r="N44" s="25">
        <v>246</v>
      </c>
      <c r="O44" s="25">
        <v>47</v>
      </c>
      <c r="P44" s="25">
        <v>246</v>
      </c>
      <c r="Q44" s="25">
        <v>47</v>
      </c>
      <c r="R44" s="26">
        <f>IFERROR((Table4[[#This Row],[30.04.2025 Individus]]-Table4[[#This Row],[31.03.2025 Individus]])/Table4[[#This Row],[31.03.2025 Individus]],0)</f>
        <v>0</v>
      </c>
      <c r="S44" s="25">
        <f>Table4[[#This Row],[30.04.2025 Individus]]-Table4[[#This Row],[31.03.2025 Individus]]</f>
        <v>0</v>
      </c>
      <c r="T44" s="25" t="str">
        <f>IF(Table4[[#This Row],[Différence]]&lt;0,"Retournés","Déplacés")</f>
        <v>Déplacés</v>
      </c>
      <c r="U44" s="25" t="s">
        <v>591</v>
      </c>
      <c r="V44" s="25" t="str">
        <f>IF(Table4[[#This Row],[Evolution]]=0,"Non","Oui")</f>
        <v>Non</v>
      </c>
      <c r="W44" s="25" t="s">
        <v>725</v>
      </c>
      <c r="X44" s="42" t="s">
        <v>197</v>
      </c>
    </row>
    <row r="45" spans="1:24" s="9" customFormat="1" x14ac:dyDescent="0.3">
      <c r="A45" s="47">
        <v>40</v>
      </c>
      <c r="B45" s="25" t="s">
        <v>398</v>
      </c>
      <c r="C45" s="25" t="s">
        <v>246</v>
      </c>
      <c r="D45" s="25" t="s">
        <v>418</v>
      </c>
      <c r="E45" s="25" t="s">
        <v>266</v>
      </c>
      <c r="F45" s="25" t="s">
        <v>480</v>
      </c>
      <c r="G45" s="25" t="s">
        <v>266</v>
      </c>
      <c r="H45" s="25">
        <v>1752</v>
      </c>
      <c r="I45" s="25">
        <v>337</v>
      </c>
      <c r="J45" s="25">
        <v>1044</v>
      </c>
      <c r="K45" s="25">
        <v>195</v>
      </c>
      <c r="L45" s="25">
        <v>1044</v>
      </c>
      <c r="M45" s="25">
        <v>195</v>
      </c>
      <c r="N45" s="25">
        <v>1044</v>
      </c>
      <c r="O45" s="25">
        <v>195</v>
      </c>
      <c r="P45" s="25">
        <v>1044</v>
      </c>
      <c r="Q45" s="25">
        <v>195</v>
      </c>
      <c r="R45" s="26">
        <f>IFERROR((Table4[[#This Row],[30.04.2025 Individus]]-Table4[[#This Row],[31.03.2025 Individus]])/Table4[[#This Row],[31.03.2025 Individus]],0)</f>
        <v>0</v>
      </c>
      <c r="S45" s="25">
        <f>Table4[[#This Row],[30.04.2025 Individus]]-Table4[[#This Row],[31.03.2025 Individus]]</f>
        <v>0</v>
      </c>
      <c r="T45" s="25" t="str">
        <f>IF(Table4[[#This Row],[Différence]]&lt;0,"Retournés","Déplacés")</f>
        <v>Déplacés</v>
      </c>
      <c r="U45" s="25" t="s">
        <v>591</v>
      </c>
      <c r="V45" s="25" t="str">
        <f>IF(Table4[[#This Row],[Evolution]]=0,"Non","Oui")</f>
        <v>Non</v>
      </c>
      <c r="W45" s="25" t="s">
        <v>725</v>
      </c>
      <c r="X45" s="42" t="s">
        <v>197</v>
      </c>
    </row>
    <row r="46" spans="1:24" s="9" customFormat="1" x14ac:dyDescent="0.3">
      <c r="A46" s="47">
        <v>41</v>
      </c>
      <c r="B46" s="25" t="s">
        <v>398</v>
      </c>
      <c r="C46" s="25" t="s">
        <v>246</v>
      </c>
      <c r="D46" s="25" t="s">
        <v>418</v>
      </c>
      <c r="E46" s="25" t="s">
        <v>266</v>
      </c>
      <c r="F46" s="25" t="s">
        <v>479</v>
      </c>
      <c r="G46" s="25" t="s">
        <v>332</v>
      </c>
      <c r="H46" s="25">
        <v>143</v>
      </c>
      <c r="I46" s="25">
        <v>39</v>
      </c>
      <c r="J46" s="25">
        <v>121</v>
      </c>
      <c r="K46" s="25">
        <v>30</v>
      </c>
      <c r="L46" s="25">
        <v>121</v>
      </c>
      <c r="M46" s="25">
        <v>30</v>
      </c>
      <c r="N46" s="25">
        <v>121</v>
      </c>
      <c r="O46" s="25">
        <v>30</v>
      </c>
      <c r="P46" s="25">
        <v>121</v>
      </c>
      <c r="Q46" s="25">
        <v>30</v>
      </c>
      <c r="R46" s="26">
        <f>IFERROR((Table4[[#This Row],[30.04.2025 Individus]]-Table4[[#This Row],[31.03.2025 Individus]])/Table4[[#This Row],[31.03.2025 Individus]],0)</f>
        <v>0</v>
      </c>
      <c r="S46" s="25">
        <f>Table4[[#This Row],[30.04.2025 Individus]]-Table4[[#This Row],[31.03.2025 Individus]]</f>
        <v>0</v>
      </c>
      <c r="T46" s="25" t="str">
        <f>IF(Table4[[#This Row],[Différence]]&lt;0,"Retournés","Déplacés")</f>
        <v>Déplacés</v>
      </c>
      <c r="U46" s="25" t="s">
        <v>591</v>
      </c>
      <c r="V46" s="25" t="str">
        <f>IF(Table4[[#This Row],[Evolution]]=0,"Non","Oui")</f>
        <v>Non</v>
      </c>
      <c r="W46" s="25" t="s">
        <v>725</v>
      </c>
      <c r="X46" s="42" t="s">
        <v>197</v>
      </c>
    </row>
    <row r="47" spans="1:24" s="9" customFormat="1" x14ac:dyDescent="0.3">
      <c r="A47" s="47">
        <v>42</v>
      </c>
      <c r="B47" s="25" t="s">
        <v>398</v>
      </c>
      <c r="C47" s="25" t="s">
        <v>246</v>
      </c>
      <c r="D47" s="25" t="s">
        <v>415</v>
      </c>
      <c r="E47" s="25" t="s">
        <v>263</v>
      </c>
      <c r="F47" s="25" t="s">
        <v>473</v>
      </c>
      <c r="G47" s="25" t="s">
        <v>327</v>
      </c>
      <c r="H47" s="25">
        <v>3324</v>
      </c>
      <c r="I47" s="25">
        <v>743</v>
      </c>
      <c r="J47" s="25">
        <v>2683</v>
      </c>
      <c r="K47" s="25">
        <v>591</v>
      </c>
      <c r="L47" s="25">
        <v>2683</v>
      </c>
      <c r="M47" s="25">
        <v>591</v>
      </c>
      <c r="N47" s="25">
        <v>2683</v>
      </c>
      <c r="O47" s="25">
        <v>591</v>
      </c>
      <c r="P47" s="25">
        <v>2683</v>
      </c>
      <c r="Q47" s="25">
        <v>591</v>
      </c>
      <c r="R47" s="26">
        <f>IFERROR((Table4[[#This Row],[30.04.2025 Individus]]-Table4[[#This Row],[31.03.2025 Individus]])/Table4[[#This Row],[31.03.2025 Individus]],0)</f>
        <v>0</v>
      </c>
      <c r="S47" s="25">
        <f>Table4[[#This Row],[30.04.2025 Individus]]-Table4[[#This Row],[31.03.2025 Individus]]</f>
        <v>0</v>
      </c>
      <c r="T47" s="25" t="str">
        <f>IF(Table4[[#This Row],[Différence]]&lt;0,"Retournés","Déplacés")</f>
        <v>Déplacés</v>
      </c>
      <c r="U47" s="25" t="s">
        <v>591</v>
      </c>
      <c r="V47" s="25" t="str">
        <f>IF(Table4[[#This Row],[Evolution]]=0,"Non","Oui")</f>
        <v>Non</v>
      </c>
      <c r="W47" s="25" t="s">
        <v>725</v>
      </c>
      <c r="X47" s="42" t="s">
        <v>197</v>
      </c>
    </row>
    <row r="48" spans="1:24" s="9" customFormat="1" x14ac:dyDescent="0.3">
      <c r="A48" s="47">
        <v>43</v>
      </c>
      <c r="B48" s="25" t="s">
        <v>398</v>
      </c>
      <c r="C48" s="25" t="s">
        <v>246</v>
      </c>
      <c r="D48" s="25" t="s">
        <v>415</v>
      </c>
      <c r="E48" s="25" t="s">
        <v>263</v>
      </c>
      <c r="F48" s="25" t="s">
        <v>474</v>
      </c>
      <c r="G48" s="25" t="s">
        <v>328</v>
      </c>
      <c r="H48" s="25">
        <v>2211</v>
      </c>
      <c r="I48" s="25">
        <v>459</v>
      </c>
      <c r="J48" s="25">
        <v>1705</v>
      </c>
      <c r="K48" s="25">
        <v>353</v>
      </c>
      <c r="L48" s="25">
        <v>1705</v>
      </c>
      <c r="M48" s="25">
        <v>353</v>
      </c>
      <c r="N48" s="25">
        <v>1705</v>
      </c>
      <c r="O48" s="25">
        <v>353</v>
      </c>
      <c r="P48" s="25">
        <v>1705</v>
      </c>
      <c r="Q48" s="25">
        <v>353</v>
      </c>
      <c r="R48" s="26">
        <f>IFERROR((Table4[[#This Row],[30.04.2025 Individus]]-Table4[[#This Row],[31.03.2025 Individus]])/Table4[[#This Row],[31.03.2025 Individus]],0)</f>
        <v>0</v>
      </c>
      <c r="S48" s="25">
        <f>Table4[[#This Row],[30.04.2025 Individus]]-Table4[[#This Row],[31.03.2025 Individus]]</f>
        <v>0</v>
      </c>
      <c r="T48" s="25" t="str">
        <f>IF(Table4[[#This Row],[Différence]]&lt;0,"Retournés","Déplacés")</f>
        <v>Déplacés</v>
      </c>
      <c r="U48" s="25" t="s">
        <v>591</v>
      </c>
      <c r="V48" s="25" t="str">
        <f>IF(Table4[[#This Row],[Evolution]]=0,"Non","Oui")</f>
        <v>Non</v>
      </c>
      <c r="W48" s="25" t="s">
        <v>725</v>
      </c>
      <c r="X48" s="42" t="s">
        <v>197</v>
      </c>
    </row>
    <row r="49" spans="1:24" s="9" customFormat="1" x14ac:dyDescent="0.3">
      <c r="A49" s="47">
        <v>44</v>
      </c>
      <c r="B49" s="25" t="s">
        <v>398</v>
      </c>
      <c r="C49" s="25" t="s">
        <v>246</v>
      </c>
      <c r="D49" s="25" t="s">
        <v>415</v>
      </c>
      <c r="E49" s="25" t="s">
        <v>263</v>
      </c>
      <c r="F49" s="25" t="s">
        <v>475</v>
      </c>
      <c r="G49" s="25" t="s">
        <v>329</v>
      </c>
      <c r="H49" s="25">
        <v>673</v>
      </c>
      <c r="I49" s="25">
        <v>157</v>
      </c>
      <c r="J49" s="25">
        <v>661</v>
      </c>
      <c r="K49" s="25">
        <v>150</v>
      </c>
      <c r="L49" s="25">
        <v>661</v>
      </c>
      <c r="M49" s="25">
        <v>150</v>
      </c>
      <c r="N49" s="25">
        <v>661</v>
      </c>
      <c r="O49" s="25">
        <v>150</v>
      </c>
      <c r="P49" s="25">
        <v>661</v>
      </c>
      <c r="Q49" s="25">
        <v>150</v>
      </c>
      <c r="R49" s="26">
        <f>IFERROR((Table4[[#This Row],[30.04.2025 Individus]]-Table4[[#This Row],[31.03.2025 Individus]])/Table4[[#This Row],[31.03.2025 Individus]],0)</f>
        <v>0</v>
      </c>
      <c r="S49" s="25">
        <f>Table4[[#This Row],[30.04.2025 Individus]]-Table4[[#This Row],[31.03.2025 Individus]]</f>
        <v>0</v>
      </c>
      <c r="T49" s="25" t="str">
        <f>IF(Table4[[#This Row],[Différence]]&lt;0,"Retournés","Déplacés")</f>
        <v>Déplacés</v>
      </c>
      <c r="U49" s="25" t="s">
        <v>591</v>
      </c>
      <c r="V49" s="25" t="str">
        <f>IF(Table4[[#This Row],[Evolution]]=0,"Non","Oui")</f>
        <v>Non</v>
      </c>
      <c r="W49" s="25" t="s">
        <v>725</v>
      </c>
      <c r="X49" s="42" t="s">
        <v>197</v>
      </c>
    </row>
    <row r="50" spans="1:24" s="9" customFormat="1" x14ac:dyDescent="0.3">
      <c r="A50" s="47">
        <v>45</v>
      </c>
      <c r="B50" s="25" t="s">
        <v>398</v>
      </c>
      <c r="C50" s="25" t="s">
        <v>246</v>
      </c>
      <c r="D50" s="25" t="s">
        <v>416</v>
      </c>
      <c r="E50" s="25" t="s">
        <v>264</v>
      </c>
      <c r="F50" s="25" t="s">
        <v>476</v>
      </c>
      <c r="G50" s="25" t="s">
        <v>264</v>
      </c>
      <c r="H50" s="25">
        <v>2023</v>
      </c>
      <c r="I50" s="25">
        <v>418</v>
      </c>
      <c r="J50" s="25">
        <v>1659</v>
      </c>
      <c r="K50" s="25">
        <v>335</v>
      </c>
      <c r="L50" s="25">
        <v>1659</v>
      </c>
      <c r="M50" s="25">
        <v>335</v>
      </c>
      <c r="N50" s="25">
        <v>1659</v>
      </c>
      <c r="O50" s="25">
        <v>335</v>
      </c>
      <c r="P50" s="25">
        <v>1659</v>
      </c>
      <c r="Q50" s="25">
        <v>335</v>
      </c>
      <c r="R50" s="26">
        <f>IFERROR((Table4[[#This Row],[30.04.2025 Individus]]-Table4[[#This Row],[31.03.2025 Individus]])/Table4[[#This Row],[31.03.2025 Individus]],0)</f>
        <v>0</v>
      </c>
      <c r="S50" s="25">
        <f>Table4[[#This Row],[30.04.2025 Individus]]-Table4[[#This Row],[31.03.2025 Individus]]</f>
        <v>0</v>
      </c>
      <c r="T50" s="25" t="str">
        <f>IF(Table4[[#This Row],[Différence]]&lt;0,"Retournés","Déplacés")</f>
        <v>Déplacés</v>
      </c>
      <c r="U50" s="25" t="s">
        <v>591</v>
      </c>
      <c r="V50" s="25" t="str">
        <f>IF(Table4[[#This Row],[Evolution]]=0,"Non","Oui")</f>
        <v>Non</v>
      </c>
      <c r="W50" s="25" t="s">
        <v>725</v>
      </c>
      <c r="X50" s="42" t="s">
        <v>197</v>
      </c>
    </row>
    <row r="51" spans="1:24" s="9" customFormat="1" x14ac:dyDescent="0.3">
      <c r="A51" s="47">
        <v>46</v>
      </c>
      <c r="B51" s="25" t="s">
        <v>398</v>
      </c>
      <c r="C51" s="25" t="s">
        <v>246</v>
      </c>
      <c r="D51" s="25" t="s">
        <v>417</v>
      </c>
      <c r="E51" s="25" t="s">
        <v>265</v>
      </c>
      <c r="F51" s="25" t="s">
        <v>478</v>
      </c>
      <c r="G51" s="25" t="s">
        <v>331</v>
      </c>
      <c r="H51" s="25">
        <v>2295</v>
      </c>
      <c r="I51" s="25">
        <v>457</v>
      </c>
      <c r="J51" s="25">
        <v>2168</v>
      </c>
      <c r="K51" s="25">
        <v>433</v>
      </c>
      <c r="L51" s="25">
        <v>2168</v>
      </c>
      <c r="M51" s="25">
        <v>433</v>
      </c>
      <c r="N51" s="25">
        <v>2168</v>
      </c>
      <c r="O51" s="25">
        <v>433</v>
      </c>
      <c r="P51" s="25">
        <v>2168</v>
      </c>
      <c r="Q51" s="25">
        <v>433</v>
      </c>
      <c r="R51" s="26">
        <f>IFERROR((Table4[[#This Row],[30.04.2025 Individus]]-Table4[[#This Row],[31.03.2025 Individus]])/Table4[[#This Row],[31.03.2025 Individus]],0)</f>
        <v>0</v>
      </c>
      <c r="S51" s="25">
        <f>Table4[[#This Row],[30.04.2025 Individus]]-Table4[[#This Row],[31.03.2025 Individus]]</f>
        <v>0</v>
      </c>
      <c r="T51" s="25" t="str">
        <f>IF(Table4[[#This Row],[Différence]]&lt;0,"Retournés","Déplacés")</f>
        <v>Déplacés</v>
      </c>
      <c r="U51" s="25" t="s">
        <v>591</v>
      </c>
      <c r="V51" s="25" t="str">
        <f>IF(Table4[[#This Row],[Evolution]]=0,"Non","Oui")</f>
        <v>Non</v>
      </c>
      <c r="W51" s="25" t="s">
        <v>725</v>
      </c>
      <c r="X51" s="42" t="s">
        <v>197</v>
      </c>
    </row>
    <row r="52" spans="1:24" s="9" customFormat="1" x14ac:dyDescent="0.3">
      <c r="A52" s="47">
        <v>47</v>
      </c>
      <c r="B52" s="25" t="s">
        <v>398</v>
      </c>
      <c r="C52" s="25" t="s">
        <v>246</v>
      </c>
      <c r="D52" s="25" t="s">
        <v>417</v>
      </c>
      <c r="E52" s="25" t="s">
        <v>265</v>
      </c>
      <c r="F52" s="25" t="s">
        <v>477</v>
      </c>
      <c r="G52" s="25" t="s">
        <v>330</v>
      </c>
      <c r="H52" s="25">
        <v>1826</v>
      </c>
      <c r="I52" s="25">
        <v>400</v>
      </c>
      <c r="J52" s="25">
        <v>1489</v>
      </c>
      <c r="K52" s="25">
        <v>329</v>
      </c>
      <c r="L52" s="25">
        <v>1489</v>
      </c>
      <c r="M52" s="25">
        <v>329</v>
      </c>
      <c r="N52" s="25">
        <v>1489</v>
      </c>
      <c r="O52" s="25">
        <v>329</v>
      </c>
      <c r="P52" s="25">
        <v>1489</v>
      </c>
      <c r="Q52" s="25">
        <v>329</v>
      </c>
      <c r="R52" s="26">
        <f>IFERROR((Table4[[#This Row],[30.04.2025 Individus]]-Table4[[#This Row],[31.03.2025 Individus]])/Table4[[#This Row],[31.03.2025 Individus]],0)</f>
        <v>0</v>
      </c>
      <c r="S52" s="25">
        <f>Table4[[#This Row],[30.04.2025 Individus]]-Table4[[#This Row],[31.03.2025 Individus]]</f>
        <v>0</v>
      </c>
      <c r="T52" s="25" t="str">
        <f>IF(Table4[[#This Row],[Différence]]&lt;0,"Retournés","Déplacés")</f>
        <v>Déplacés</v>
      </c>
      <c r="U52" s="25" t="s">
        <v>591</v>
      </c>
      <c r="V52" s="25" t="str">
        <f>IF(Table4[[#This Row],[Evolution]]=0,"Non","Oui")</f>
        <v>Non</v>
      </c>
      <c r="W52" s="25" t="s">
        <v>725</v>
      </c>
      <c r="X52" s="42" t="s">
        <v>197</v>
      </c>
    </row>
    <row r="53" spans="1:24" s="9" customFormat="1" x14ac:dyDescent="0.3">
      <c r="A53" s="47">
        <v>48</v>
      </c>
      <c r="B53" s="25" t="s">
        <v>605</v>
      </c>
      <c r="C53" s="25" t="s">
        <v>604</v>
      </c>
      <c r="D53" s="25" t="s">
        <v>670</v>
      </c>
      <c r="E53" s="25" t="s">
        <v>671</v>
      </c>
      <c r="F53" s="25" t="s">
        <v>660</v>
      </c>
      <c r="G53" s="25" t="s">
        <v>389</v>
      </c>
      <c r="H53" s="25">
        <v>316</v>
      </c>
      <c r="I53" s="25">
        <v>66</v>
      </c>
      <c r="J53" s="25">
        <v>337</v>
      </c>
      <c r="K53" s="25">
        <v>70</v>
      </c>
      <c r="L53" s="25">
        <v>337</v>
      </c>
      <c r="M53" s="25">
        <v>70</v>
      </c>
      <c r="N53" s="25">
        <v>337</v>
      </c>
      <c r="O53" s="25">
        <v>70</v>
      </c>
      <c r="P53" s="25">
        <v>337</v>
      </c>
      <c r="Q53" s="25">
        <v>70</v>
      </c>
      <c r="R53" s="26">
        <f>IFERROR((Table4[[#This Row],[30.04.2025 Individus]]-Table4[[#This Row],[31.03.2025 Individus]])/Table4[[#This Row],[31.03.2025 Individus]],0)</f>
        <v>0</v>
      </c>
      <c r="S53" s="25">
        <f>Table4[[#This Row],[30.04.2025 Individus]]-Table4[[#This Row],[31.03.2025 Individus]]</f>
        <v>0</v>
      </c>
      <c r="T53" s="25" t="str">
        <f>IF(Table4[[#This Row],[Différence]]&lt;0,"Retournés","Déplacés")</f>
        <v>Déplacés</v>
      </c>
      <c r="U53" s="25" t="s">
        <v>591</v>
      </c>
      <c r="V53" s="25" t="str">
        <f>IF(Table4[[#This Row],[Evolution]]=0,"Non","Oui")</f>
        <v>Non</v>
      </c>
      <c r="W53" s="25" t="s">
        <v>725</v>
      </c>
      <c r="X53" s="42" t="s">
        <v>197</v>
      </c>
    </row>
    <row r="54" spans="1:24" s="9" customFormat="1" x14ac:dyDescent="0.3">
      <c r="A54" s="47">
        <v>49</v>
      </c>
      <c r="B54" s="25" t="s">
        <v>605</v>
      </c>
      <c r="C54" s="25" t="s">
        <v>604</v>
      </c>
      <c r="D54" s="25" t="s">
        <v>670</v>
      </c>
      <c r="E54" s="25" t="s">
        <v>671</v>
      </c>
      <c r="F54" s="25" t="s">
        <v>659</v>
      </c>
      <c r="G54" s="25" t="s">
        <v>388</v>
      </c>
      <c r="H54" s="25">
        <v>982</v>
      </c>
      <c r="I54" s="25">
        <v>169</v>
      </c>
      <c r="J54" s="25">
        <v>943</v>
      </c>
      <c r="K54" s="25">
        <v>162</v>
      </c>
      <c r="L54" s="25">
        <v>943</v>
      </c>
      <c r="M54" s="25">
        <v>162</v>
      </c>
      <c r="N54" s="25">
        <v>943</v>
      </c>
      <c r="O54" s="25">
        <v>162</v>
      </c>
      <c r="P54" s="25">
        <v>943</v>
      </c>
      <c r="Q54" s="25">
        <v>162</v>
      </c>
      <c r="R54" s="26">
        <f>IFERROR((Table4[[#This Row],[30.04.2025 Individus]]-Table4[[#This Row],[31.03.2025 Individus]])/Table4[[#This Row],[31.03.2025 Individus]],0)</f>
        <v>0</v>
      </c>
      <c r="S54" s="25">
        <f>Table4[[#This Row],[30.04.2025 Individus]]-Table4[[#This Row],[31.03.2025 Individus]]</f>
        <v>0</v>
      </c>
      <c r="T54" s="25" t="str">
        <f>IF(Table4[[#This Row],[Différence]]&lt;0,"Retournés","Déplacés")</f>
        <v>Déplacés</v>
      </c>
      <c r="U54" s="25" t="s">
        <v>591</v>
      </c>
      <c r="V54" s="25" t="str">
        <f>IF(Table4[[#This Row],[Evolution]]=0,"Non","Oui")</f>
        <v>Non</v>
      </c>
      <c r="W54" s="25" t="s">
        <v>725</v>
      </c>
      <c r="X54" s="42" t="s">
        <v>197</v>
      </c>
    </row>
    <row r="55" spans="1:24" s="9" customFormat="1" x14ac:dyDescent="0.3">
      <c r="A55" s="47">
        <v>50</v>
      </c>
      <c r="B55" s="25" t="s">
        <v>605</v>
      </c>
      <c r="C55" s="25" t="s">
        <v>604</v>
      </c>
      <c r="D55" s="25" t="s">
        <v>670</v>
      </c>
      <c r="E55" s="25" t="s">
        <v>671</v>
      </c>
      <c r="F55" s="25" t="s">
        <v>662</v>
      </c>
      <c r="G55" s="25" t="s">
        <v>392</v>
      </c>
      <c r="H55" s="25">
        <v>0</v>
      </c>
      <c r="I55" s="25">
        <v>0</v>
      </c>
      <c r="J55" s="25">
        <v>0</v>
      </c>
      <c r="K55" s="25">
        <v>0</v>
      </c>
      <c r="L55" s="25">
        <v>0</v>
      </c>
      <c r="M55" s="25">
        <v>0</v>
      </c>
      <c r="N55" s="25">
        <v>0</v>
      </c>
      <c r="O55" s="25">
        <v>0</v>
      </c>
      <c r="P55" s="25">
        <v>0</v>
      </c>
      <c r="Q55" s="25">
        <v>0</v>
      </c>
      <c r="R55" s="26">
        <f>IFERROR((Table4[[#This Row],[30.04.2025 Individus]]-Table4[[#This Row],[31.03.2025 Individus]])/Table4[[#This Row],[31.03.2025 Individus]],0)</f>
        <v>0</v>
      </c>
      <c r="S55" s="25">
        <f>Table4[[#This Row],[30.04.2025 Individus]]-Table4[[#This Row],[31.03.2025 Individus]]</f>
        <v>0</v>
      </c>
      <c r="T55" s="25" t="str">
        <f>IF(Table4[[#This Row],[Différence]]&lt;0,"Retournés","Déplacés")</f>
        <v>Déplacés</v>
      </c>
      <c r="U55" s="25" t="s">
        <v>591</v>
      </c>
      <c r="V55" s="25" t="str">
        <f>IF(Table4[[#This Row],[Evolution]]=0,"Non","Oui")</f>
        <v>Non</v>
      </c>
      <c r="W55" s="25" t="s">
        <v>725</v>
      </c>
      <c r="X55" s="42" t="s">
        <v>197</v>
      </c>
    </row>
    <row r="56" spans="1:24" s="9" customFormat="1" x14ac:dyDescent="0.3">
      <c r="A56" s="47">
        <v>51</v>
      </c>
      <c r="B56" s="25" t="s">
        <v>605</v>
      </c>
      <c r="C56" s="25" t="s">
        <v>604</v>
      </c>
      <c r="D56" s="25" t="s">
        <v>672</v>
      </c>
      <c r="E56" s="25" t="s">
        <v>673</v>
      </c>
      <c r="F56" s="25" t="s">
        <v>652</v>
      </c>
      <c r="G56" s="25" t="s">
        <v>382</v>
      </c>
      <c r="H56" s="25">
        <v>340</v>
      </c>
      <c r="I56" s="25">
        <v>62</v>
      </c>
      <c r="J56" s="25">
        <v>123</v>
      </c>
      <c r="K56" s="25">
        <v>22</v>
      </c>
      <c r="L56" s="25">
        <v>123</v>
      </c>
      <c r="M56" s="25">
        <v>22</v>
      </c>
      <c r="N56" s="25">
        <v>123</v>
      </c>
      <c r="O56" s="25">
        <v>22</v>
      </c>
      <c r="P56" s="25">
        <v>123</v>
      </c>
      <c r="Q56" s="25">
        <v>22</v>
      </c>
      <c r="R56" s="26">
        <f>IFERROR((Table4[[#This Row],[30.04.2025 Individus]]-Table4[[#This Row],[31.03.2025 Individus]])/Table4[[#This Row],[31.03.2025 Individus]],0)</f>
        <v>0</v>
      </c>
      <c r="S56" s="25">
        <f>Table4[[#This Row],[30.04.2025 Individus]]-Table4[[#This Row],[31.03.2025 Individus]]</f>
        <v>0</v>
      </c>
      <c r="T56" s="25" t="str">
        <f>IF(Table4[[#This Row],[Différence]]&lt;0,"Retournés","Déplacés")</f>
        <v>Déplacés</v>
      </c>
      <c r="U56" s="25" t="s">
        <v>591</v>
      </c>
      <c r="V56" s="25" t="str">
        <f>IF(Table4[[#This Row],[Evolution]]=0,"Non","Oui")</f>
        <v>Non</v>
      </c>
      <c r="W56" s="25" t="s">
        <v>725</v>
      </c>
      <c r="X56" s="42" t="s">
        <v>197</v>
      </c>
    </row>
    <row r="57" spans="1:24" s="9" customFormat="1" x14ac:dyDescent="0.3">
      <c r="A57" s="47">
        <v>52</v>
      </c>
      <c r="B57" s="25" t="s">
        <v>605</v>
      </c>
      <c r="C57" s="25" t="s">
        <v>604</v>
      </c>
      <c r="D57" s="25" t="s">
        <v>672</v>
      </c>
      <c r="E57" s="25" t="s">
        <v>673</v>
      </c>
      <c r="F57" s="25" t="s">
        <v>653</v>
      </c>
      <c r="G57" s="25" t="s">
        <v>383</v>
      </c>
      <c r="H57" s="25">
        <v>0</v>
      </c>
      <c r="I57" s="25">
        <v>0</v>
      </c>
      <c r="J57" s="25">
        <v>0</v>
      </c>
      <c r="K57" s="25">
        <v>0</v>
      </c>
      <c r="L57" s="25">
        <v>0</v>
      </c>
      <c r="M57" s="25">
        <v>0</v>
      </c>
      <c r="N57" s="25">
        <v>0</v>
      </c>
      <c r="O57" s="25">
        <v>0</v>
      </c>
      <c r="P57" s="25">
        <v>0</v>
      </c>
      <c r="Q57" s="25">
        <v>0</v>
      </c>
      <c r="R57" s="26">
        <f>IFERROR((Table4[[#This Row],[30.04.2025 Individus]]-Table4[[#This Row],[31.03.2025 Individus]])/Table4[[#This Row],[31.03.2025 Individus]],0)</f>
        <v>0</v>
      </c>
      <c r="S57" s="25">
        <f>Table4[[#This Row],[30.04.2025 Individus]]-Table4[[#This Row],[31.03.2025 Individus]]</f>
        <v>0</v>
      </c>
      <c r="T57" s="25" t="str">
        <f>IF(Table4[[#This Row],[Différence]]&lt;0,"Retournés","Déplacés")</f>
        <v>Déplacés</v>
      </c>
      <c r="U57" s="25" t="s">
        <v>591</v>
      </c>
      <c r="V57" s="25" t="str">
        <f>IF(Table4[[#This Row],[Evolution]]=0,"Non","Oui")</f>
        <v>Non</v>
      </c>
      <c r="W57" s="25" t="s">
        <v>725</v>
      </c>
      <c r="X57" s="42" t="s">
        <v>197</v>
      </c>
    </row>
    <row r="58" spans="1:24" s="9" customFormat="1" x14ac:dyDescent="0.3">
      <c r="A58" s="47">
        <v>53</v>
      </c>
      <c r="B58" s="25" t="s">
        <v>605</v>
      </c>
      <c r="C58" s="25" t="s">
        <v>604</v>
      </c>
      <c r="D58" s="25" t="s">
        <v>613</v>
      </c>
      <c r="E58" s="25" t="s">
        <v>296</v>
      </c>
      <c r="F58" s="25" t="s">
        <v>694</v>
      </c>
      <c r="G58" s="25" t="s">
        <v>712</v>
      </c>
      <c r="H58" s="25">
        <v>0</v>
      </c>
      <c r="I58" s="25">
        <v>0</v>
      </c>
      <c r="J58" s="25">
        <v>0</v>
      </c>
      <c r="K58" s="25">
        <v>0</v>
      </c>
      <c r="L58" s="25">
        <v>0</v>
      </c>
      <c r="M58" s="25">
        <v>0</v>
      </c>
      <c r="N58" s="25">
        <v>0</v>
      </c>
      <c r="O58" s="25">
        <v>0</v>
      </c>
      <c r="P58" s="25">
        <v>0</v>
      </c>
      <c r="Q58" s="25">
        <v>0</v>
      </c>
      <c r="R58" s="26">
        <f>IFERROR((Table4[[#This Row],[30.04.2025 Individus]]-Table4[[#This Row],[31.03.2025 Individus]])/Table4[[#This Row],[31.03.2025 Individus]],0)</f>
        <v>0</v>
      </c>
      <c r="S58" s="25">
        <f>Table4[[#This Row],[30.04.2025 Individus]]-Table4[[#This Row],[31.03.2025 Individus]]</f>
        <v>0</v>
      </c>
      <c r="T58" s="25" t="str">
        <f>IF(Table4[[#This Row],[Différence]]&lt;0,"Retournés","Déplacés")</f>
        <v>Déplacés</v>
      </c>
      <c r="U58" s="25" t="s">
        <v>591</v>
      </c>
      <c r="V58" s="25" t="str">
        <f>IF(Table4[[#This Row],[Evolution]]=0,"Non","Oui")</f>
        <v>Non</v>
      </c>
      <c r="W58" s="25" t="s">
        <v>725</v>
      </c>
      <c r="X58" s="42" t="s">
        <v>197</v>
      </c>
    </row>
    <row r="59" spans="1:24" s="9" customFormat="1" x14ac:dyDescent="0.3">
      <c r="A59" s="47">
        <v>54</v>
      </c>
      <c r="B59" s="25" t="s">
        <v>605</v>
      </c>
      <c r="C59" s="25" t="s">
        <v>604</v>
      </c>
      <c r="D59" s="25" t="s">
        <v>612</v>
      </c>
      <c r="E59" s="25" t="s">
        <v>297</v>
      </c>
      <c r="F59" s="25" t="s">
        <v>656</v>
      </c>
      <c r="G59" s="25" t="s">
        <v>297</v>
      </c>
      <c r="H59" s="25">
        <v>250</v>
      </c>
      <c r="I59" s="25">
        <v>51</v>
      </c>
      <c r="J59" s="25">
        <v>235</v>
      </c>
      <c r="K59" s="25">
        <v>48</v>
      </c>
      <c r="L59" s="25">
        <v>235</v>
      </c>
      <c r="M59" s="25">
        <v>48</v>
      </c>
      <c r="N59" s="25">
        <v>235</v>
      </c>
      <c r="O59" s="25">
        <v>48</v>
      </c>
      <c r="P59" s="25">
        <v>235</v>
      </c>
      <c r="Q59" s="25">
        <v>48</v>
      </c>
      <c r="R59" s="26">
        <f>IFERROR((Table4[[#This Row],[30.04.2025 Individus]]-Table4[[#This Row],[31.03.2025 Individus]])/Table4[[#This Row],[31.03.2025 Individus]],0)</f>
        <v>0</v>
      </c>
      <c r="S59" s="25">
        <f>Table4[[#This Row],[30.04.2025 Individus]]-Table4[[#This Row],[31.03.2025 Individus]]</f>
        <v>0</v>
      </c>
      <c r="T59" s="25" t="str">
        <f>IF(Table4[[#This Row],[Différence]]&lt;0,"Retournés","Déplacés")</f>
        <v>Déplacés</v>
      </c>
      <c r="U59" s="25" t="s">
        <v>591</v>
      </c>
      <c r="V59" s="25" t="str">
        <f>IF(Table4[[#This Row],[Evolution]]=0,"Non","Oui")</f>
        <v>Non</v>
      </c>
      <c r="W59" s="25" t="s">
        <v>725</v>
      </c>
      <c r="X59" s="42" t="s">
        <v>197</v>
      </c>
    </row>
    <row r="60" spans="1:24" s="9" customFormat="1" x14ac:dyDescent="0.3">
      <c r="A60" s="47">
        <v>55</v>
      </c>
      <c r="B60" s="25" t="s">
        <v>605</v>
      </c>
      <c r="C60" s="25" t="s">
        <v>604</v>
      </c>
      <c r="D60" s="25" t="s">
        <v>612</v>
      </c>
      <c r="E60" s="25" t="s">
        <v>297</v>
      </c>
      <c r="F60" s="25" t="s">
        <v>657</v>
      </c>
      <c r="G60" s="25" t="s">
        <v>386</v>
      </c>
      <c r="H60" s="25">
        <v>186</v>
      </c>
      <c r="I60" s="25">
        <v>38</v>
      </c>
      <c r="J60" s="25">
        <v>186</v>
      </c>
      <c r="K60" s="25">
        <v>38</v>
      </c>
      <c r="L60" s="25">
        <v>186</v>
      </c>
      <c r="M60" s="25">
        <v>38</v>
      </c>
      <c r="N60" s="25">
        <v>186</v>
      </c>
      <c r="O60" s="25">
        <v>38</v>
      </c>
      <c r="P60" s="25">
        <v>186</v>
      </c>
      <c r="Q60" s="25">
        <v>38</v>
      </c>
      <c r="R60" s="26">
        <f>IFERROR((Table4[[#This Row],[30.04.2025 Individus]]-Table4[[#This Row],[31.03.2025 Individus]])/Table4[[#This Row],[31.03.2025 Individus]],0)</f>
        <v>0</v>
      </c>
      <c r="S60" s="25">
        <f>Table4[[#This Row],[30.04.2025 Individus]]-Table4[[#This Row],[31.03.2025 Individus]]</f>
        <v>0</v>
      </c>
      <c r="T60" s="25" t="str">
        <f>IF(Table4[[#This Row],[Différence]]&lt;0,"Retournés","Déplacés")</f>
        <v>Déplacés</v>
      </c>
      <c r="U60" s="25" t="s">
        <v>591</v>
      </c>
      <c r="V60" s="25" t="str">
        <f>IF(Table4[[#This Row],[Evolution]]=0,"Non","Oui")</f>
        <v>Non</v>
      </c>
      <c r="W60" s="25" t="s">
        <v>725</v>
      </c>
      <c r="X60" s="42" t="s">
        <v>197</v>
      </c>
    </row>
    <row r="61" spans="1:24" s="9" customFormat="1" x14ac:dyDescent="0.3">
      <c r="A61" s="47">
        <v>56</v>
      </c>
      <c r="B61" s="25" t="s">
        <v>605</v>
      </c>
      <c r="C61" s="25" t="s">
        <v>604</v>
      </c>
      <c r="D61" s="25" t="s">
        <v>612</v>
      </c>
      <c r="E61" s="25" t="s">
        <v>297</v>
      </c>
      <c r="F61" s="25" t="s">
        <v>661</v>
      </c>
      <c r="G61" s="25" t="s">
        <v>390</v>
      </c>
      <c r="H61" s="25">
        <v>0</v>
      </c>
      <c r="I61" s="25">
        <v>0</v>
      </c>
      <c r="J61" s="25">
        <v>420</v>
      </c>
      <c r="K61" s="25">
        <v>2764</v>
      </c>
      <c r="L61" s="25">
        <v>420</v>
      </c>
      <c r="M61" s="25">
        <v>2764</v>
      </c>
      <c r="N61" s="25">
        <v>420</v>
      </c>
      <c r="O61" s="25">
        <v>2764</v>
      </c>
      <c r="P61" s="25">
        <v>420</v>
      </c>
      <c r="Q61" s="25">
        <v>2764</v>
      </c>
      <c r="R61" s="26">
        <f>IFERROR((Table4[[#This Row],[30.04.2025 Individus]]-Table4[[#This Row],[31.03.2025 Individus]])/Table4[[#This Row],[31.03.2025 Individus]],0)</f>
        <v>0</v>
      </c>
      <c r="S61" s="25">
        <f>Table4[[#This Row],[30.04.2025 Individus]]-Table4[[#This Row],[31.03.2025 Individus]]</f>
        <v>0</v>
      </c>
      <c r="T61" s="25" t="str">
        <f>IF(Table4[[#This Row],[Différence]]&lt;0,"Retournés","Déplacés")</f>
        <v>Déplacés</v>
      </c>
      <c r="U61" s="25" t="s">
        <v>591</v>
      </c>
      <c r="V61" s="25" t="s">
        <v>244</v>
      </c>
      <c r="W61" s="25" t="s">
        <v>734</v>
      </c>
      <c r="X61" s="42" t="s">
        <v>728</v>
      </c>
    </row>
    <row r="62" spans="1:24" s="9" customFormat="1" x14ac:dyDescent="0.3">
      <c r="A62" s="47">
        <v>57</v>
      </c>
      <c r="B62" s="25" t="s">
        <v>605</v>
      </c>
      <c r="C62" s="25" t="s">
        <v>604</v>
      </c>
      <c r="D62" s="25" t="s">
        <v>612</v>
      </c>
      <c r="E62" s="25" t="s">
        <v>297</v>
      </c>
      <c r="F62" s="25" t="s">
        <v>658</v>
      </c>
      <c r="G62" s="25" t="s">
        <v>387</v>
      </c>
      <c r="H62" s="25">
        <v>0</v>
      </c>
      <c r="I62" s="25">
        <v>0</v>
      </c>
      <c r="J62" s="25">
        <v>0</v>
      </c>
      <c r="K62" s="25">
        <v>0</v>
      </c>
      <c r="L62" s="25">
        <v>0</v>
      </c>
      <c r="M62" s="25">
        <v>0</v>
      </c>
      <c r="N62" s="25">
        <v>0</v>
      </c>
      <c r="O62" s="25">
        <v>0</v>
      </c>
      <c r="P62" s="25">
        <v>0</v>
      </c>
      <c r="Q62" s="25">
        <v>0</v>
      </c>
      <c r="R62" s="26">
        <f>IFERROR((Table4[[#This Row],[30.04.2025 Individus]]-Table4[[#This Row],[31.03.2025 Individus]])/Table4[[#This Row],[31.03.2025 Individus]],0)</f>
        <v>0</v>
      </c>
      <c r="S62" s="25">
        <f>Table4[[#This Row],[30.04.2025 Individus]]-Table4[[#This Row],[31.03.2025 Individus]]</f>
        <v>0</v>
      </c>
      <c r="T62" s="25" t="str">
        <f>IF(Table4[[#This Row],[Différence]]&lt;0,"Retournés","Déplacés")</f>
        <v>Déplacés</v>
      </c>
      <c r="U62" s="25" t="s">
        <v>591</v>
      </c>
      <c r="V62" s="25" t="str">
        <f>IF(Table4[[#This Row],[Evolution]]=0,"Non","Oui")</f>
        <v>Non</v>
      </c>
      <c r="W62" s="25" t="s">
        <v>725</v>
      </c>
      <c r="X62" s="42" t="s">
        <v>197</v>
      </c>
    </row>
    <row r="63" spans="1:24" s="9" customFormat="1" x14ac:dyDescent="0.3">
      <c r="A63" s="47">
        <v>58</v>
      </c>
      <c r="B63" s="25" t="s">
        <v>605</v>
      </c>
      <c r="C63" s="25" t="s">
        <v>604</v>
      </c>
      <c r="D63" s="25" t="s">
        <v>612</v>
      </c>
      <c r="E63" s="25" t="s">
        <v>297</v>
      </c>
      <c r="F63" s="25" t="s">
        <v>651</v>
      </c>
      <c r="G63" s="25" t="s">
        <v>558</v>
      </c>
      <c r="H63" s="25">
        <v>280</v>
      </c>
      <c r="I63" s="25">
        <v>47</v>
      </c>
      <c r="J63" s="25">
        <v>292</v>
      </c>
      <c r="K63" s="25">
        <v>49</v>
      </c>
      <c r="L63" s="25">
        <v>292</v>
      </c>
      <c r="M63" s="25">
        <v>49</v>
      </c>
      <c r="N63" s="25">
        <v>292</v>
      </c>
      <c r="O63" s="25">
        <v>49</v>
      </c>
      <c r="P63" s="25">
        <v>292</v>
      </c>
      <c r="Q63" s="25">
        <v>49</v>
      </c>
      <c r="R63" s="26">
        <f>IFERROR((Table4[[#This Row],[30.04.2025 Individus]]-Table4[[#This Row],[31.03.2025 Individus]])/Table4[[#This Row],[31.03.2025 Individus]],0)</f>
        <v>0</v>
      </c>
      <c r="S63" s="25">
        <f>Table4[[#This Row],[30.04.2025 Individus]]-Table4[[#This Row],[31.03.2025 Individus]]</f>
        <v>0</v>
      </c>
      <c r="T63" s="25" t="str">
        <f>IF(Table4[[#This Row],[Différence]]&lt;0,"Retournés","Déplacés")</f>
        <v>Déplacés</v>
      </c>
      <c r="U63" s="25" t="s">
        <v>591</v>
      </c>
      <c r="V63" s="25" t="str">
        <f>IF(Table4[[#This Row],[Evolution]]=0,"Non","Oui")</f>
        <v>Non</v>
      </c>
      <c r="W63" s="25" t="s">
        <v>725</v>
      </c>
      <c r="X63" s="42" t="s">
        <v>197</v>
      </c>
    </row>
    <row r="64" spans="1:24" s="9" customFormat="1" x14ac:dyDescent="0.3">
      <c r="A64" s="47">
        <v>59</v>
      </c>
      <c r="B64" s="25" t="s">
        <v>605</v>
      </c>
      <c r="C64" s="25" t="s">
        <v>604</v>
      </c>
      <c r="D64" s="25" t="s">
        <v>613</v>
      </c>
      <c r="E64" s="25" t="s">
        <v>296</v>
      </c>
      <c r="F64" s="25" t="s">
        <v>655</v>
      </c>
      <c r="G64" s="25" t="s">
        <v>385</v>
      </c>
      <c r="H64" s="25">
        <v>267</v>
      </c>
      <c r="I64" s="25">
        <v>52</v>
      </c>
      <c r="J64" s="25">
        <v>267</v>
      </c>
      <c r="K64" s="25">
        <v>52</v>
      </c>
      <c r="L64" s="25">
        <v>267</v>
      </c>
      <c r="M64" s="25">
        <v>52</v>
      </c>
      <c r="N64" s="25">
        <v>267</v>
      </c>
      <c r="O64" s="25">
        <v>52</v>
      </c>
      <c r="P64" s="25">
        <v>267</v>
      </c>
      <c r="Q64" s="25">
        <v>52</v>
      </c>
      <c r="R64" s="26">
        <f>IFERROR((Table4[[#This Row],[30.04.2025 Individus]]-Table4[[#This Row],[31.03.2025 Individus]])/Table4[[#This Row],[31.03.2025 Individus]],0)</f>
        <v>0</v>
      </c>
      <c r="S64" s="25">
        <f>Table4[[#This Row],[30.04.2025 Individus]]-Table4[[#This Row],[31.03.2025 Individus]]</f>
        <v>0</v>
      </c>
      <c r="T64" s="25" t="str">
        <f>IF(Table4[[#This Row],[Différence]]&lt;0,"Retournés","Déplacés")</f>
        <v>Déplacés</v>
      </c>
      <c r="U64" s="25" t="s">
        <v>591</v>
      </c>
      <c r="V64" s="25" t="str">
        <f>IF(Table4[[#This Row],[Evolution]]=0,"Non","Oui")</f>
        <v>Non</v>
      </c>
      <c r="W64" s="25" t="s">
        <v>725</v>
      </c>
      <c r="X64" s="42" t="s">
        <v>197</v>
      </c>
    </row>
    <row r="65" spans="1:24" s="9" customFormat="1" x14ac:dyDescent="0.3">
      <c r="A65" s="47">
        <v>60</v>
      </c>
      <c r="B65" s="25" t="s">
        <v>605</v>
      </c>
      <c r="C65" s="25" t="s">
        <v>604</v>
      </c>
      <c r="D65" s="25" t="s">
        <v>614</v>
      </c>
      <c r="E65" s="25" t="s">
        <v>384</v>
      </c>
      <c r="F65" s="25" t="s">
        <v>654</v>
      </c>
      <c r="G65" s="25" t="s">
        <v>384</v>
      </c>
      <c r="H65" s="25">
        <v>300</v>
      </c>
      <c r="I65" s="25">
        <v>60</v>
      </c>
      <c r="J65" s="25">
        <v>0</v>
      </c>
      <c r="K65" s="25">
        <v>0</v>
      </c>
      <c r="L65" s="25">
        <v>0</v>
      </c>
      <c r="M65" s="25">
        <v>0</v>
      </c>
      <c r="N65" s="25">
        <v>0</v>
      </c>
      <c r="O65" s="25">
        <v>0</v>
      </c>
      <c r="P65" s="25">
        <v>0</v>
      </c>
      <c r="Q65" s="25">
        <v>0</v>
      </c>
      <c r="R65" s="26">
        <f>IFERROR((Table4[[#This Row],[30.04.2025 Individus]]-Table4[[#This Row],[31.03.2025 Individus]])/Table4[[#This Row],[31.03.2025 Individus]],0)</f>
        <v>0</v>
      </c>
      <c r="S65" s="25">
        <f>Table4[[#This Row],[30.04.2025 Individus]]-Table4[[#This Row],[31.03.2025 Individus]]</f>
        <v>0</v>
      </c>
      <c r="T65" s="25" t="str">
        <f>IF(Table4[[#This Row],[Différence]]&lt;0,"Retournés","Déplacés")</f>
        <v>Déplacés</v>
      </c>
      <c r="U65" s="25" t="s">
        <v>591</v>
      </c>
      <c r="V65" s="25" t="str">
        <f>IF(Table4[[#This Row],[Evolution]]=0,"Non","Oui")</f>
        <v>Non</v>
      </c>
      <c r="W65" s="25" t="s">
        <v>725</v>
      </c>
      <c r="X65" s="42" t="s">
        <v>197</v>
      </c>
    </row>
    <row r="66" spans="1:24" s="9" customFormat="1" x14ac:dyDescent="0.3">
      <c r="A66" s="47">
        <v>61</v>
      </c>
      <c r="B66" s="25" t="s">
        <v>399</v>
      </c>
      <c r="C66" s="25" t="s">
        <v>247</v>
      </c>
      <c r="D66" s="25" t="s">
        <v>420</v>
      </c>
      <c r="E66" s="25" t="s">
        <v>268</v>
      </c>
      <c r="F66" s="25" t="s">
        <v>482</v>
      </c>
      <c r="G66" s="25" t="s">
        <v>268</v>
      </c>
      <c r="H66" s="25">
        <v>465</v>
      </c>
      <c r="I66" s="25">
        <v>93</v>
      </c>
      <c r="J66" s="25">
        <v>465</v>
      </c>
      <c r="K66" s="25">
        <v>93</v>
      </c>
      <c r="L66" s="25">
        <v>465</v>
      </c>
      <c r="M66" s="25">
        <v>93</v>
      </c>
      <c r="N66" s="25">
        <v>465</v>
      </c>
      <c r="O66" s="25">
        <v>93</v>
      </c>
      <c r="P66" s="25">
        <v>465</v>
      </c>
      <c r="Q66" s="25">
        <v>93</v>
      </c>
      <c r="R66" s="26">
        <f>IFERROR((Table4[[#This Row],[30.04.2025 Individus]]-Table4[[#This Row],[31.03.2025 Individus]])/Table4[[#This Row],[31.03.2025 Individus]],0)</f>
        <v>0</v>
      </c>
      <c r="S66" s="25">
        <f>Table4[[#This Row],[30.04.2025 Individus]]-Table4[[#This Row],[31.03.2025 Individus]]</f>
        <v>0</v>
      </c>
      <c r="T66" s="25" t="str">
        <f>IF(Table4[[#This Row],[Différence]]&lt;0,"Retournés","Déplacés")</f>
        <v>Déplacés</v>
      </c>
      <c r="U66" s="25" t="s">
        <v>591</v>
      </c>
      <c r="V66" s="25" t="str">
        <f>IF(Table4[[#This Row],[Evolution]]=0,"Non","Oui")</f>
        <v>Non</v>
      </c>
      <c r="W66" s="25" t="s">
        <v>725</v>
      </c>
      <c r="X66" s="42" t="s">
        <v>197</v>
      </c>
    </row>
    <row r="67" spans="1:24" s="9" customFormat="1" x14ac:dyDescent="0.3">
      <c r="A67" s="47">
        <v>62</v>
      </c>
      <c r="B67" s="25" t="s">
        <v>399</v>
      </c>
      <c r="C67" s="25" t="s">
        <v>247</v>
      </c>
      <c r="D67" s="25" t="s">
        <v>422</v>
      </c>
      <c r="E67" s="25" t="s">
        <v>270</v>
      </c>
      <c r="F67" s="25" t="s">
        <v>484</v>
      </c>
      <c r="G67" s="25" t="s">
        <v>333</v>
      </c>
      <c r="H67" s="25">
        <v>1880</v>
      </c>
      <c r="I67" s="25">
        <v>386</v>
      </c>
      <c r="J67" s="25">
        <v>1892</v>
      </c>
      <c r="K67" s="25">
        <v>388</v>
      </c>
      <c r="L67" s="25">
        <v>1892</v>
      </c>
      <c r="M67" s="25">
        <v>388</v>
      </c>
      <c r="N67" s="25">
        <v>1892</v>
      </c>
      <c r="O67" s="25">
        <v>388</v>
      </c>
      <c r="P67" s="25">
        <v>1892</v>
      </c>
      <c r="Q67" s="25">
        <v>388</v>
      </c>
      <c r="R67" s="26">
        <f>IFERROR((Table4[[#This Row],[30.04.2025 Individus]]-Table4[[#This Row],[31.03.2025 Individus]])/Table4[[#This Row],[31.03.2025 Individus]],0)</f>
        <v>0</v>
      </c>
      <c r="S67" s="25">
        <f>Table4[[#This Row],[30.04.2025 Individus]]-Table4[[#This Row],[31.03.2025 Individus]]</f>
        <v>0</v>
      </c>
      <c r="T67" s="25" t="str">
        <f>IF(Table4[[#This Row],[Différence]]&lt;0,"Retournés","Déplacés")</f>
        <v>Déplacés</v>
      </c>
      <c r="U67" s="25" t="s">
        <v>591</v>
      </c>
      <c r="V67" s="25" t="str">
        <f>IF(Table4[[#This Row],[Evolution]]=0,"Non","Oui")</f>
        <v>Non</v>
      </c>
      <c r="W67" s="25" t="s">
        <v>725</v>
      </c>
      <c r="X67" s="42" t="s">
        <v>197</v>
      </c>
    </row>
    <row r="68" spans="1:24" s="9" customFormat="1" x14ac:dyDescent="0.3">
      <c r="A68" s="47">
        <v>63</v>
      </c>
      <c r="B68" s="25" t="s">
        <v>399</v>
      </c>
      <c r="C68" s="25" t="s">
        <v>247</v>
      </c>
      <c r="D68" s="25" t="s">
        <v>422</v>
      </c>
      <c r="E68" s="25" t="s">
        <v>270</v>
      </c>
      <c r="F68" s="25" t="s">
        <v>693</v>
      </c>
      <c r="G68" s="25" t="s">
        <v>711</v>
      </c>
      <c r="H68" s="25">
        <v>0</v>
      </c>
      <c r="I68" s="25">
        <v>0</v>
      </c>
      <c r="J68" s="25">
        <v>0</v>
      </c>
      <c r="K68" s="25">
        <v>0</v>
      </c>
      <c r="L68" s="25">
        <v>0</v>
      </c>
      <c r="M68" s="25">
        <v>0</v>
      </c>
      <c r="N68" s="25">
        <v>0</v>
      </c>
      <c r="O68" s="25">
        <v>0</v>
      </c>
      <c r="P68" s="25">
        <v>0</v>
      </c>
      <c r="Q68" s="25">
        <v>0</v>
      </c>
      <c r="R68" s="26">
        <f>IFERROR((Table4[[#This Row],[30.04.2025 Individus]]-Table4[[#This Row],[31.03.2025 Individus]])/Table4[[#This Row],[31.03.2025 Individus]],0)</f>
        <v>0</v>
      </c>
      <c r="S68" s="25">
        <f>Table4[[#This Row],[30.04.2025 Individus]]-Table4[[#This Row],[31.03.2025 Individus]]</f>
        <v>0</v>
      </c>
      <c r="T68" s="25" t="str">
        <f>IF(Table4[[#This Row],[Différence]]&lt;0,"Retournés","Déplacés")</f>
        <v>Déplacés</v>
      </c>
      <c r="U68" s="25" t="s">
        <v>591</v>
      </c>
      <c r="V68" s="25" t="str">
        <f>IF(Table4[[#This Row],[Evolution]]=0,"Non","Oui")</f>
        <v>Non</v>
      </c>
      <c r="W68" s="25" t="s">
        <v>725</v>
      </c>
      <c r="X68" s="42" t="s">
        <v>197</v>
      </c>
    </row>
    <row r="69" spans="1:24" s="9" customFormat="1" x14ac:dyDescent="0.3">
      <c r="A69" s="47">
        <v>64</v>
      </c>
      <c r="B69" s="25" t="s">
        <v>399</v>
      </c>
      <c r="C69" s="25" t="s">
        <v>247</v>
      </c>
      <c r="D69" s="25" t="s">
        <v>422</v>
      </c>
      <c r="E69" s="25" t="s">
        <v>270</v>
      </c>
      <c r="F69" s="25" t="s">
        <v>487</v>
      </c>
      <c r="G69" s="25" t="s">
        <v>335</v>
      </c>
      <c r="H69" s="25">
        <v>135</v>
      </c>
      <c r="I69" s="25">
        <v>27</v>
      </c>
      <c r="J69" s="25">
        <v>135</v>
      </c>
      <c r="K69" s="25">
        <v>27</v>
      </c>
      <c r="L69" s="25">
        <v>135</v>
      </c>
      <c r="M69" s="25">
        <v>27</v>
      </c>
      <c r="N69" s="25">
        <v>135</v>
      </c>
      <c r="O69" s="25">
        <v>27</v>
      </c>
      <c r="P69" s="25">
        <v>135</v>
      </c>
      <c r="Q69" s="25">
        <v>27</v>
      </c>
      <c r="R69" s="26">
        <f>IFERROR((Table4[[#This Row],[30.04.2025 Individus]]-Table4[[#This Row],[31.03.2025 Individus]])/Table4[[#This Row],[31.03.2025 Individus]],0)</f>
        <v>0</v>
      </c>
      <c r="S69" s="25">
        <f>Table4[[#This Row],[30.04.2025 Individus]]-Table4[[#This Row],[31.03.2025 Individus]]</f>
        <v>0</v>
      </c>
      <c r="T69" s="25" t="str">
        <f>IF(Table4[[#This Row],[Différence]]&lt;0,"Retournés","Déplacés")</f>
        <v>Déplacés</v>
      </c>
      <c r="U69" s="25" t="s">
        <v>591</v>
      </c>
      <c r="V69" s="25" t="str">
        <f>IF(Table4[[#This Row],[Evolution]]=0,"Non","Oui")</f>
        <v>Non</v>
      </c>
      <c r="W69" s="25" t="s">
        <v>725</v>
      </c>
      <c r="X69" s="42" t="s">
        <v>197</v>
      </c>
    </row>
    <row r="70" spans="1:24" s="9" customFormat="1" x14ac:dyDescent="0.3">
      <c r="A70" s="47">
        <v>65</v>
      </c>
      <c r="B70" s="25" t="s">
        <v>399</v>
      </c>
      <c r="C70" s="25" t="s">
        <v>247</v>
      </c>
      <c r="D70" s="25" t="s">
        <v>422</v>
      </c>
      <c r="E70" s="25" t="s">
        <v>270</v>
      </c>
      <c r="F70" s="25" t="s">
        <v>686</v>
      </c>
      <c r="G70" s="25" t="s">
        <v>705</v>
      </c>
      <c r="H70" s="25">
        <v>0</v>
      </c>
      <c r="I70" s="25">
        <v>0</v>
      </c>
      <c r="J70" s="25">
        <v>0</v>
      </c>
      <c r="K70" s="25">
        <v>0</v>
      </c>
      <c r="L70" s="25">
        <v>0</v>
      </c>
      <c r="M70" s="25">
        <v>0</v>
      </c>
      <c r="N70" s="25">
        <v>0</v>
      </c>
      <c r="O70" s="25">
        <v>0</v>
      </c>
      <c r="P70" s="25">
        <v>0</v>
      </c>
      <c r="Q70" s="25">
        <v>0</v>
      </c>
      <c r="R70" s="26">
        <f>IFERROR((Table4[[#This Row],[30.04.2025 Individus]]-Table4[[#This Row],[31.03.2025 Individus]])/Table4[[#This Row],[31.03.2025 Individus]],0)</f>
        <v>0</v>
      </c>
      <c r="S70" s="25">
        <f>Table4[[#This Row],[30.04.2025 Individus]]-Table4[[#This Row],[31.03.2025 Individus]]</f>
        <v>0</v>
      </c>
      <c r="T70" s="25" t="str">
        <f>IF(Table4[[#This Row],[Différence]]&lt;0,"Retournés","Déplacés")</f>
        <v>Déplacés</v>
      </c>
      <c r="U70" s="25" t="s">
        <v>591</v>
      </c>
      <c r="V70" s="25" t="str">
        <f>IF(Table4[[#This Row],[Evolution]]=0,"Non","Oui")</f>
        <v>Non</v>
      </c>
      <c r="W70" s="25" t="s">
        <v>725</v>
      </c>
      <c r="X70" s="42" t="s">
        <v>197</v>
      </c>
    </row>
    <row r="71" spans="1:24" s="9" customFormat="1" x14ac:dyDescent="0.3">
      <c r="A71" s="47">
        <v>66</v>
      </c>
      <c r="B71" s="25" t="s">
        <v>399</v>
      </c>
      <c r="C71" s="25" t="s">
        <v>247</v>
      </c>
      <c r="D71" s="25" t="s">
        <v>422</v>
      </c>
      <c r="E71" s="25" t="s">
        <v>270</v>
      </c>
      <c r="F71" s="25" t="s">
        <v>691</v>
      </c>
      <c r="G71" s="25" t="s">
        <v>709</v>
      </c>
      <c r="H71" s="25">
        <v>0</v>
      </c>
      <c r="I71" s="25">
        <v>0</v>
      </c>
      <c r="J71" s="25">
        <v>0</v>
      </c>
      <c r="K71" s="25">
        <v>0</v>
      </c>
      <c r="L71" s="25">
        <v>0</v>
      </c>
      <c r="M71" s="25">
        <v>0</v>
      </c>
      <c r="N71" s="25">
        <v>0</v>
      </c>
      <c r="O71" s="25">
        <v>0</v>
      </c>
      <c r="P71" s="25">
        <v>0</v>
      </c>
      <c r="Q71" s="25">
        <v>0</v>
      </c>
      <c r="R71" s="26">
        <f>IFERROR((Table4[[#This Row],[30.04.2025 Individus]]-Table4[[#This Row],[31.03.2025 Individus]])/Table4[[#This Row],[31.03.2025 Individus]],0)</f>
        <v>0</v>
      </c>
      <c r="S71" s="25">
        <f>Table4[[#This Row],[30.04.2025 Individus]]-Table4[[#This Row],[31.03.2025 Individus]]</f>
        <v>0</v>
      </c>
      <c r="T71" s="25" t="str">
        <f>IF(Table4[[#This Row],[Différence]]&lt;0,"Retournés","Déplacés")</f>
        <v>Déplacés</v>
      </c>
      <c r="U71" s="25" t="s">
        <v>591</v>
      </c>
      <c r="V71" s="25" t="str">
        <f>IF(Table4[[#This Row],[Evolution]]=0,"Non","Oui")</f>
        <v>Non</v>
      </c>
      <c r="W71" s="25" t="s">
        <v>725</v>
      </c>
      <c r="X71" s="42" t="s">
        <v>197</v>
      </c>
    </row>
    <row r="72" spans="1:24" s="9" customFormat="1" x14ac:dyDescent="0.3">
      <c r="A72" s="47">
        <v>67</v>
      </c>
      <c r="B72" s="25" t="s">
        <v>399</v>
      </c>
      <c r="C72" s="25" t="s">
        <v>247</v>
      </c>
      <c r="D72" s="25" t="s">
        <v>422</v>
      </c>
      <c r="E72" s="25" t="s">
        <v>270</v>
      </c>
      <c r="F72" s="25" t="s">
        <v>486</v>
      </c>
      <c r="G72" s="25" t="s">
        <v>300</v>
      </c>
      <c r="H72" s="25">
        <v>140</v>
      </c>
      <c r="I72" s="25">
        <v>28</v>
      </c>
      <c r="J72" s="25">
        <v>140</v>
      </c>
      <c r="K72" s="25">
        <v>28</v>
      </c>
      <c r="L72" s="25">
        <v>140</v>
      </c>
      <c r="M72" s="25">
        <v>28</v>
      </c>
      <c r="N72" s="25">
        <v>140</v>
      </c>
      <c r="O72" s="25">
        <v>28</v>
      </c>
      <c r="P72" s="25">
        <v>140</v>
      </c>
      <c r="Q72" s="25">
        <v>28</v>
      </c>
      <c r="R72" s="26">
        <f>IFERROR((Table4[[#This Row],[30.04.2025 Individus]]-Table4[[#This Row],[31.03.2025 Individus]])/Table4[[#This Row],[31.03.2025 Individus]],0)</f>
        <v>0</v>
      </c>
      <c r="S72" s="25">
        <f>Table4[[#This Row],[30.04.2025 Individus]]-Table4[[#This Row],[31.03.2025 Individus]]</f>
        <v>0</v>
      </c>
      <c r="T72" s="25" t="str">
        <f>IF(Table4[[#This Row],[Différence]]&lt;0,"Retournés","Déplacés")</f>
        <v>Déplacés</v>
      </c>
      <c r="U72" s="25" t="s">
        <v>591</v>
      </c>
      <c r="V72" s="25" t="str">
        <f>IF(Table4[[#This Row],[Evolution]]=0,"Non","Oui")</f>
        <v>Non</v>
      </c>
      <c r="W72" s="25" t="s">
        <v>725</v>
      </c>
      <c r="X72" s="42" t="s">
        <v>197</v>
      </c>
    </row>
    <row r="73" spans="1:24" s="9" customFormat="1" x14ac:dyDescent="0.3">
      <c r="A73" s="47">
        <v>68</v>
      </c>
      <c r="B73" s="25" t="s">
        <v>399</v>
      </c>
      <c r="C73" s="25" t="s">
        <v>247</v>
      </c>
      <c r="D73" s="25" t="s">
        <v>675</v>
      </c>
      <c r="E73" s="25" t="s">
        <v>676</v>
      </c>
      <c r="F73" s="25" t="s">
        <v>695</v>
      </c>
      <c r="G73" s="25" t="s">
        <v>676</v>
      </c>
      <c r="H73" s="25">
        <v>0</v>
      </c>
      <c r="I73" s="25">
        <v>0</v>
      </c>
      <c r="J73" s="25">
        <v>0</v>
      </c>
      <c r="K73" s="25">
        <v>0</v>
      </c>
      <c r="L73" s="25">
        <v>0</v>
      </c>
      <c r="M73" s="25">
        <v>0</v>
      </c>
      <c r="N73" s="25">
        <v>0</v>
      </c>
      <c r="O73" s="25">
        <v>0</v>
      </c>
      <c r="P73" s="25">
        <v>0</v>
      </c>
      <c r="Q73" s="25">
        <v>0</v>
      </c>
      <c r="R73" s="26">
        <f>IFERROR((Table4[[#This Row],[30.04.2025 Individus]]-Table4[[#This Row],[31.03.2025 Individus]])/Table4[[#This Row],[31.03.2025 Individus]],0)</f>
        <v>0</v>
      </c>
      <c r="S73" s="25">
        <f>Table4[[#This Row],[30.04.2025 Individus]]-Table4[[#This Row],[31.03.2025 Individus]]</f>
        <v>0</v>
      </c>
      <c r="T73" s="25" t="str">
        <f>IF(Table4[[#This Row],[Différence]]&lt;0,"Retournés","Déplacés")</f>
        <v>Déplacés</v>
      </c>
      <c r="U73" s="25" t="s">
        <v>591</v>
      </c>
      <c r="V73" s="25" t="str">
        <f>IF(Table4[[#This Row],[Evolution]]=0,"Non","Oui")</f>
        <v>Non</v>
      </c>
      <c r="W73" s="25" t="s">
        <v>725</v>
      </c>
      <c r="X73" s="42" t="s">
        <v>197</v>
      </c>
    </row>
    <row r="74" spans="1:24" s="9" customFormat="1" x14ac:dyDescent="0.3">
      <c r="A74" s="47">
        <v>69</v>
      </c>
      <c r="B74" s="25" t="s">
        <v>399</v>
      </c>
      <c r="C74" s="25" t="s">
        <v>247</v>
      </c>
      <c r="D74" s="25" t="s">
        <v>422</v>
      </c>
      <c r="E74" s="25" t="s">
        <v>270</v>
      </c>
      <c r="F74" s="25" t="s">
        <v>485</v>
      </c>
      <c r="G74" s="25" t="s">
        <v>334</v>
      </c>
      <c r="H74" s="25">
        <v>0</v>
      </c>
      <c r="I74" s="25">
        <v>0</v>
      </c>
      <c r="J74" s="25">
        <v>0</v>
      </c>
      <c r="K74" s="25">
        <v>0</v>
      </c>
      <c r="L74" s="25">
        <v>0</v>
      </c>
      <c r="M74" s="25">
        <v>0</v>
      </c>
      <c r="N74" s="25">
        <v>0</v>
      </c>
      <c r="O74" s="25">
        <v>0</v>
      </c>
      <c r="P74" s="25">
        <v>0</v>
      </c>
      <c r="Q74" s="25">
        <v>0</v>
      </c>
      <c r="R74" s="26">
        <f>IFERROR((Table4[[#This Row],[30.04.2025 Individus]]-Table4[[#This Row],[31.03.2025 Individus]])/Table4[[#This Row],[31.03.2025 Individus]],0)</f>
        <v>0</v>
      </c>
      <c r="S74" s="25">
        <f>Table4[[#This Row],[30.04.2025 Individus]]-Table4[[#This Row],[31.03.2025 Individus]]</f>
        <v>0</v>
      </c>
      <c r="T74" s="25" t="str">
        <f>IF(Table4[[#This Row],[Différence]]&lt;0,"Retournés","Déplacés")</f>
        <v>Déplacés</v>
      </c>
      <c r="U74" s="25" t="s">
        <v>591</v>
      </c>
      <c r="V74" s="25" t="str">
        <f>IF(Table4[[#This Row],[Evolution]]=0,"Non","Oui")</f>
        <v>Non</v>
      </c>
      <c r="W74" s="25" t="s">
        <v>725</v>
      </c>
      <c r="X74" s="42" t="s">
        <v>197</v>
      </c>
    </row>
    <row r="75" spans="1:24" s="9" customFormat="1" x14ac:dyDescent="0.3">
      <c r="A75" s="47">
        <v>70</v>
      </c>
      <c r="B75" s="25" t="s">
        <v>399</v>
      </c>
      <c r="C75" s="25" t="s">
        <v>247</v>
      </c>
      <c r="D75" s="25" t="s">
        <v>423</v>
      </c>
      <c r="E75" s="25" t="s">
        <v>271</v>
      </c>
      <c r="F75" s="25" t="s">
        <v>488</v>
      </c>
      <c r="G75" s="25" t="s">
        <v>271</v>
      </c>
      <c r="H75" s="25">
        <v>0</v>
      </c>
      <c r="I75" s="25">
        <v>0</v>
      </c>
      <c r="J75" s="25">
        <v>0</v>
      </c>
      <c r="K75" s="25">
        <v>0</v>
      </c>
      <c r="L75" s="25">
        <v>0</v>
      </c>
      <c r="M75" s="25">
        <v>0</v>
      </c>
      <c r="N75" s="25">
        <v>0</v>
      </c>
      <c r="O75" s="25">
        <v>0</v>
      </c>
      <c r="P75" s="25">
        <v>0</v>
      </c>
      <c r="Q75" s="25">
        <v>0</v>
      </c>
      <c r="R75" s="26">
        <f>IFERROR((Table4[[#This Row],[30.04.2025 Individus]]-Table4[[#This Row],[31.03.2025 Individus]])/Table4[[#This Row],[31.03.2025 Individus]],0)</f>
        <v>0</v>
      </c>
      <c r="S75" s="25">
        <f>Table4[[#This Row],[30.04.2025 Individus]]-Table4[[#This Row],[31.03.2025 Individus]]</f>
        <v>0</v>
      </c>
      <c r="T75" s="25" t="str">
        <f>IF(Table4[[#This Row],[Différence]]&lt;0,"Retournés","Déplacés")</f>
        <v>Déplacés</v>
      </c>
      <c r="U75" s="25" t="s">
        <v>591</v>
      </c>
      <c r="V75" s="25" t="str">
        <f>IF(Table4[[#This Row],[Evolution]]=0,"Non","Oui")</f>
        <v>Non</v>
      </c>
      <c r="W75" s="25" t="s">
        <v>725</v>
      </c>
      <c r="X75" s="42" t="s">
        <v>197</v>
      </c>
    </row>
    <row r="76" spans="1:24" s="9" customFormat="1" x14ac:dyDescent="0.3">
      <c r="A76" s="47">
        <v>71</v>
      </c>
      <c r="B76" s="25" t="s">
        <v>399</v>
      </c>
      <c r="C76" s="25" t="s">
        <v>247</v>
      </c>
      <c r="D76" s="25" t="s">
        <v>419</v>
      </c>
      <c r="E76" s="25" t="s">
        <v>267</v>
      </c>
      <c r="F76" s="25" t="s">
        <v>481</v>
      </c>
      <c r="G76" s="25" t="s">
        <v>247</v>
      </c>
      <c r="H76" s="25">
        <v>1722</v>
      </c>
      <c r="I76" s="25">
        <v>344</v>
      </c>
      <c r="J76" s="25">
        <f>1202+555</f>
        <v>1757</v>
      </c>
      <c r="K76" s="25">
        <f>240+111</f>
        <v>351</v>
      </c>
      <c r="L76" s="25">
        <f>1202+555</f>
        <v>1757</v>
      </c>
      <c r="M76" s="25">
        <f>240+111</f>
        <v>351</v>
      </c>
      <c r="N76" s="25">
        <f>1202+555</f>
        <v>1757</v>
      </c>
      <c r="O76" s="25">
        <f>240+111</f>
        <v>351</v>
      </c>
      <c r="P76" s="25">
        <f>1202+555</f>
        <v>1757</v>
      </c>
      <c r="Q76" s="25">
        <f>240+111</f>
        <v>351</v>
      </c>
      <c r="R76" s="26">
        <f>IFERROR((Table4[[#This Row],[30.04.2025 Individus]]-Table4[[#This Row],[31.03.2025 Individus]])/Table4[[#This Row],[31.03.2025 Individus]],0)</f>
        <v>0</v>
      </c>
      <c r="S76" s="25">
        <f>Table4[[#This Row],[30.04.2025 Individus]]-Table4[[#This Row],[31.03.2025 Individus]]</f>
        <v>0</v>
      </c>
      <c r="T76" s="25" t="str">
        <f>IF(Table4[[#This Row],[Différence]]&lt;0,"Retournés","Déplacés")</f>
        <v>Déplacés</v>
      </c>
      <c r="U76" s="25" t="s">
        <v>591</v>
      </c>
      <c r="V76" s="25" t="str">
        <f>IF(Table4[[#This Row],[Evolution]]=0,"Non","Oui")</f>
        <v>Non</v>
      </c>
      <c r="W76" s="25" t="s">
        <v>733</v>
      </c>
      <c r="X76" s="42" t="s">
        <v>197</v>
      </c>
    </row>
    <row r="77" spans="1:24" s="9" customFormat="1" x14ac:dyDescent="0.3">
      <c r="A77" s="47">
        <v>72</v>
      </c>
      <c r="B77" s="25" t="s">
        <v>399</v>
      </c>
      <c r="C77" s="25" t="s">
        <v>247</v>
      </c>
      <c r="D77" s="25" t="s">
        <v>421</v>
      </c>
      <c r="E77" s="25" t="s">
        <v>269</v>
      </c>
      <c r="F77" s="25" t="s">
        <v>483</v>
      </c>
      <c r="G77" s="25" t="s">
        <v>269</v>
      </c>
      <c r="H77" s="25">
        <v>0</v>
      </c>
      <c r="I77" s="25">
        <v>0</v>
      </c>
      <c r="J77" s="25">
        <v>0</v>
      </c>
      <c r="K77" s="25">
        <v>0</v>
      </c>
      <c r="L77" s="25">
        <v>0</v>
      </c>
      <c r="M77" s="25">
        <v>0</v>
      </c>
      <c r="N77" s="25">
        <v>0</v>
      </c>
      <c r="O77" s="25">
        <v>0</v>
      </c>
      <c r="P77" s="25">
        <v>0</v>
      </c>
      <c r="Q77" s="25">
        <v>0</v>
      </c>
      <c r="R77" s="26">
        <f>IFERROR((Table4[[#This Row],[30.04.2025 Individus]]-Table4[[#This Row],[31.03.2025 Individus]])/Table4[[#This Row],[31.03.2025 Individus]],0)</f>
        <v>0</v>
      </c>
      <c r="S77" s="25">
        <f>Table4[[#This Row],[30.04.2025 Individus]]-Table4[[#This Row],[31.03.2025 Individus]]</f>
        <v>0</v>
      </c>
      <c r="T77" s="25" t="str">
        <f>IF(Table4[[#This Row],[Différence]]&lt;0,"Retournés","Déplacés")</f>
        <v>Déplacés</v>
      </c>
      <c r="U77" s="25" t="s">
        <v>591</v>
      </c>
      <c r="V77" s="25" t="str">
        <f>IF(Table4[[#This Row],[Evolution]]=0,"Non","Oui")</f>
        <v>Non</v>
      </c>
      <c r="W77" s="25" t="s">
        <v>725</v>
      </c>
      <c r="X77" s="42" t="s">
        <v>197</v>
      </c>
    </row>
    <row r="78" spans="1:24" s="9" customFormat="1" x14ac:dyDescent="0.3">
      <c r="A78" s="47">
        <v>73</v>
      </c>
      <c r="B78" s="25" t="s">
        <v>607</v>
      </c>
      <c r="C78" s="25" t="s">
        <v>606</v>
      </c>
      <c r="D78" s="25" t="s">
        <v>610</v>
      </c>
      <c r="E78" s="25" t="s">
        <v>274</v>
      </c>
      <c r="F78" s="25" t="s">
        <v>642</v>
      </c>
      <c r="G78" s="25" t="s">
        <v>274</v>
      </c>
      <c r="H78" s="25">
        <v>1522</v>
      </c>
      <c r="I78" s="25">
        <v>298</v>
      </c>
      <c r="J78" s="25">
        <v>1424</v>
      </c>
      <c r="K78" s="25">
        <v>280</v>
      </c>
      <c r="L78" s="25">
        <v>1522</v>
      </c>
      <c r="M78" s="25">
        <v>298</v>
      </c>
      <c r="N78" s="25">
        <v>1522</v>
      </c>
      <c r="O78" s="25">
        <v>298</v>
      </c>
      <c r="P78" s="25">
        <v>1522</v>
      </c>
      <c r="Q78" s="25">
        <v>298</v>
      </c>
      <c r="R78" s="26">
        <f>IFERROR((Table4[[#This Row],[30.04.2025 Individus]]-Table4[[#This Row],[31.03.2025 Individus]])/Table4[[#This Row],[31.03.2025 Individus]],0)</f>
        <v>0</v>
      </c>
      <c r="S78" s="25">
        <f>Table4[[#This Row],[30.04.2025 Individus]]-Table4[[#This Row],[31.03.2025 Individus]]</f>
        <v>0</v>
      </c>
      <c r="T78" s="25" t="str">
        <f>IF(Table4[[#This Row],[Différence]]&lt;0,"Retournés","Déplacés")</f>
        <v>Déplacés</v>
      </c>
      <c r="U78" s="25" t="s">
        <v>591</v>
      </c>
      <c r="V78" s="25" t="str">
        <f>IF(Table4[[#This Row],[Evolution]]=0,"Non","Oui")</f>
        <v>Non</v>
      </c>
      <c r="W78" s="25" t="s">
        <v>725</v>
      </c>
      <c r="X78" s="42" t="s">
        <v>197</v>
      </c>
    </row>
    <row r="79" spans="1:24" s="9" customFormat="1" x14ac:dyDescent="0.3">
      <c r="A79" s="47">
        <v>74</v>
      </c>
      <c r="B79" s="25" t="s">
        <v>607</v>
      </c>
      <c r="C79" s="25" t="s">
        <v>606</v>
      </c>
      <c r="D79" s="25" t="s">
        <v>681</v>
      </c>
      <c r="E79" s="25" t="s">
        <v>682</v>
      </c>
      <c r="F79" s="25" t="s">
        <v>700</v>
      </c>
      <c r="G79" s="25" t="s">
        <v>682</v>
      </c>
      <c r="H79" s="25">
        <v>0</v>
      </c>
      <c r="I79" s="25">
        <v>0</v>
      </c>
      <c r="J79" s="25">
        <v>0</v>
      </c>
      <c r="K79" s="25">
        <v>0</v>
      </c>
      <c r="L79" s="25">
        <v>0</v>
      </c>
      <c r="M79" s="25">
        <v>0</v>
      </c>
      <c r="N79" s="25">
        <v>0</v>
      </c>
      <c r="O79" s="25">
        <v>0</v>
      </c>
      <c r="P79" s="25">
        <v>0</v>
      </c>
      <c r="Q79" s="25">
        <v>0</v>
      </c>
      <c r="R79" s="26">
        <f>IFERROR((Table4[[#This Row],[30.04.2025 Individus]]-Table4[[#This Row],[31.03.2025 Individus]])/Table4[[#This Row],[31.03.2025 Individus]],0)</f>
        <v>0</v>
      </c>
      <c r="S79" s="25">
        <f>Table4[[#This Row],[30.04.2025 Individus]]-Table4[[#This Row],[31.03.2025 Individus]]</f>
        <v>0</v>
      </c>
      <c r="T79" s="25" t="str">
        <f>IF(Table4[[#This Row],[Différence]]&lt;0,"Retournés","Déplacés")</f>
        <v>Déplacés</v>
      </c>
      <c r="U79" s="25" t="s">
        <v>591</v>
      </c>
      <c r="V79" s="25" t="str">
        <f>IF(Table4[[#This Row],[Evolution]]=0,"Non","Oui")</f>
        <v>Non</v>
      </c>
      <c r="W79" s="25" t="s">
        <v>725</v>
      </c>
      <c r="X79" s="42" t="s">
        <v>197</v>
      </c>
    </row>
    <row r="80" spans="1:24" s="9" customFormat="1" x14ac:dyDescent="0.3">
      <c r="A80" s="47">
        <v>75</v>
      </c>
      <c r="B80" s="25" t="s">
        <v>607</v>
      </c>
      <c r="C80" s="25" t="s">
        <v>606</v>
      </c>
      <c r="D80" s="25" t="s">
        <v>609</v>
      </c>
      <c r="E80" s="25" t="s">
        <v>272</v>
      </c>
      <c r="F80" s="25" t="s">
        <v>640</v>
      </c>
      <c r="G80" s="25" t="s">
        <v>630</v>
      </c>
      <c r="H80" s="25">
        <v>1189</v>
      </c>
      <c r="I80" s="25">
        <v>195</v>
      </c>
      <c r="J80" s="25">
        <v>970</v>
      </c>
      <c r="K80" s="25">
        <v>158</v>
      </c>
      <c r="L80" s="25">
        <v>1189</v>
      </c>
      <c r="M80" s="25">
        <v>195</v>
      </c>
      <c r="N80" s="25">
        <v>1189</v>
      </c>
      <c r="O80" s="25">
        <v>195</v>
      </c>
      <c r="P80" s="25">
        <v>1189</v>
      </c>
      <c r="Q80" s="25">
        <v>195</v>
      </c>
      <c r="R80" s="26">
        <f>IFERROR((Table4[[#This Row],[30.04.2025 Individus]]-Table4[[#This Row],[31.03.2025 Individus]])/Table4[[#This Row],[31.03.2025 Individus]],0)</f>
        <v>0</v>
      </c>
      <c r="S80" s="25">
        <f>Table4[[#This Row],[30.04.2025 Individus]]-Table4[[#This Row],[31.03.2025 Individus]]</f>
        <v>0</v>
      </c>
      <c r="T80" s="25" t="str">
        <f>IF(Table4[[#This Row],[Différence]]&lt;0,"Retournés","Déplacés")</f>
        <v>Déplacés</v>
      </c>
      <c r="U80" s="25" t="s">
        <v>591</v>
      </c>
      <c r="V80" s="25" t="str">
        <f>IF(Table4[[#This Row],[Evolution]]=0,"Non","Oui")</f>
        <v>Non</v>
      </c>
      <c r="W80" s="25" t="s">
        <v>725</v>
      </c>
      <c r="X80" s="42" t="s">
        <v>197</v>
      </c>
    </row>
    <row r="81" spans="1:24" s="9" customFormat="1" x14ac:dyDescent="0.3">
      <c r="A81" s="47">
        <v>76</v>
      </c>
      <c r="B81" s="25" t="s">
        <v>607</v>
      </c>
      <c r="C81" s="25" t="s">
        <v>606</v>
      </c>
      <c r="D81" s="25" t="s">
        <v>611</v>
      </c>
      <c r="E81" s="25" t="s">
        <v>276</v>
      </c>
      <c r="F81" s="25" t="s">
        <v>643</v>
      </c>
      <c r="G81" s="25" t="s">
        <v>341</v>
      </c>
      <c r="H81" s="25">
        <v>168</v>
      </c>
      <c r="I81" s="25">
        <v>33</v>
      </c>
      <c r="J81" s="25">
        <v>168</v>
      </c>
      <c r="K81" s="25">
        <v>33</v>
      </c>
      <c r="L81" s="25">
        <v>168</v>
      </c>
      <c r="M81" s="25">
        <v>33</v>
      </c>
      <c r="N81" s="25">
        <v>168</v>
      </c>
      <c r="O81" s="25">
        <v>33</v>
      </c>
      <c r="P81" s="25">
        <v>168</v>
      </c>
      <c r="Q81" s="25">
        <v>33</v>
      </c>
      <c r="R81" s="26">
        <f>IFERROR((Table4[[#This Row],[30.04.2025 Individus]]-Table4[[#This Row],[31.03.2025 Individus]])/Table4[[#This Row],[31.03.2025 Individus]],0)</f>
        <v>0</v>
      </c>
      <c r="S81" s="25">
        <f>Table4[[#This Row],[30.04.2025 Individus]]-Table4[[#This Row],[31.03.2025 Individus]]</f>
        <v>0</v>
      </c>
      <c r="T81" s="25" t="str">
        <f>IF(Table4[[#This Row],[Différence]]&lt;0,"Retournés","Déplacés")</f>
        <v>Déplacés</v>
      </c>
      <c r="U81" s="25" t="s">
        <v>591</v>
      </c>
      <c r="V81" s="25" t="str">
        <f>IF(Table4[[#This Row],[Evolution]]=0,"Non","Oui")</f>
        <v>Non</v>
      </c>
      <c r="W81" s="25" t="s">
        <v>725</v>
      </c>
      <c r="X81" s="42" t="s">
        <v>197</v>
      </c>
    </row>
    <row r="82" spans="1:24" s="9" customFormat="1" x14ac:dyDescent="0.3">
      <c r="A82" s="47">
        <v>77</v>
      </c>
      <c r="B82" s="25" t="s">
        <v>607</v>
      </c>
      <c r="C82" s="25" t="s">
        <v>606</v>
      </c>
      <c r="D82" s="25" t="s">
        <v>611</v>
      </c>
      <c r="E82" s="25" t="s">
        <v>276</v>
      </c>
      <c r="F82" s="25" t="s">
        <v>644</v>
      </c>
      <c r="G82" s="25" t="s">
        <v>342</v>
      </c>
      <c r="H82" s="25">
        <v>0</v>
      </c>
      <c r="I82" s="25">
        <v>0</v>
      </c>
      <c r="J82" s="25">
        <v>0</v>
      </c>
      <c r="K82" s="25">
        <v>0</v>
      </c>
      <c r="L82" s="25">
        <v>0</v>
      </c>
      <c r="M82" s="25">
        <v>0</v>
      </c>
      <c r="N82" s="25">
        <v>0</v>
      </c>
      <c r="O82" s="25">
        <v>0</v>
      </c>
      <c r="P82" s="25">
        <v>0</v>
      </c>
      <c r="Q82" s="25">
        <v>0</v>
      </c>
      <c r="R82" s="26">
        <f>IFERROR((Table4[[#This Row],[30.04.2025 Individus]]-Table4[[#This Row],[31.03.2025 Individus]])/Table4[[#This Row],[31.03.2025 Individus]],0)</f>
        <v>0</v>
      </c>
      <c r="S82" s="25">
        <f>Table4[[#This Row],[30.04.2025 Individus]]-Table4[[#This Row],[31.03.2025 Individus]]</f>
        <v>0</v>
      </c>
      <c r="T82" s="25" t="str">
        <f>IF(Table4[[#This Row],[Différence]]&lt;0,"Retournés","Déplacés")</f>
        <v>Déplacés</v>
      </c>
      <c r="U82" s="25" t="s">
        <v>591</v>
      </c>
      <c r="V82" s="25" t="str">
        <f>IF(Table4[[#This Row],[Evolution]]=0,"Non","Oui")</f>
        <v>Non</v>
      </c>
      <c r="W82" s="25" t="s">
        <v>725</v>
      </c>
      <c r="X82" s="42" t="s">
        <v>197</v>
      </c>
    </row>
    <row r="83" spans="1:24" s="9" customFormat="1" x14ac:dyDescent="0.3">
      <c r="A83" s="47">
        <v>78</v>
      </c>
      <c r="B83" s="25" t="s">
        <v>400</v>
      </c>
      <c r="C83" s="25" t="s">
        <v>248</v>
      </c>
      <c r="D83" s="25" t="s">
        <v>424</v>
      </c>
      <c r="E83" s="25" t="s">
        <v>273</v>
      </c>
      <c r="F83" s="25" t="s">
        <v>641</v>
      </c>
      <c r="G83" s="25" t="s">
        <v>273</v>
      </c>
      <c r="H83" s="25">
        <v>4212</v>
      </c>
      <c r="I83" s="25">
        <v>706</v>
      </c>
      <c r="J83" s="25">
        <v>4212</v>
      </c>
      <c r="K83" s="25">
        <v>706</v>
      </c>
      <c r="L83" s="25">
        <v>4212</v>
      </c>
      <c r="M83" s="25">
        <v>706</v>
      </c>
      <c r="N83" s="25">
        <v>4212</v>
      </c>
      <c r="O83" s="25">
        <v>706</v>
      </c>
      <c r="P83" s="25">
        <v>4212</v>
      </c>
      <c r="Q83" s="25">
        <v>706</v>
      </c>
      <c r="R83" s="26">
        <f>IFERROR((Table4[[#This Row],[30.04.2025 Individus]]-Table4[[#This Row],[31.03.2025 Individus]])/Table4[[#This Row],[31.03.2025 Individus]],0)</f>
        <v>0</v>
      </c>
      <c r="S83" s="25">
        <f>Table4[[#This Row],[30.04.2025 Individus]]-Table4[[#This Row],[31.03.2025 Individus]]</f>
        <v>0</v>
      </c>
      <c r="T83" s="25" t="str">
        <f>IF(Table4[[#This Row],[Différence]]&lt;0,"Retournés","Déplacés")</f>
        <v>Déplacés</v>
      </c>
      <c r="U83" s="25" t="s">
        <v>591</v>
      </c>
      <c r="V83" s="25" t="str">
        <f>IF(Table4[[#This Row],[Evolution]]=0,"Non","Oui")</f>
        <v>Non</v>
      </c>
      <c r="W83" s="25" t="s">
        <v>725</v>
      </c>
      <c r="X83" s="42" t="s">
        <v>197</v>
      </c>
    </row>
    <row r="84" spans="1:24" s="9" customFormat="1" x14ac:dyDescent="0.3">
      <c r="A84" s="47">
        <v>79</v>
      </c>
      <c r="B84" s="25" t="s">
        <v>400</v>
      </c>
      <c r="C84" s="25" t="s">
        <v>248</v>
      </c>
      <c r="D84" s="25" t="s">
        <v>424</v>
      </c>
      <c r="E84" s="25" t="s">
        <v>273</v>
      </c>
      <c r="F84" s="25" t="s">
        <v>491</v>
      </c>
      <c r="G84" s="25" t="s">
        <v>338</v>
      </c>
      <c r="H84" s="25">
        <v>197</v>
      </c>
      <c r="I84" s="25">
        <v>40</v>
      </c>
      <c r="J84" s="25">
        <v>197</v>
      </c>
      <c r="K84" s="25">
        <v>40</v>
      </c>
      <c r="L84" s="25">
        <v>197</v>
      </c>
      <c r="M84" s="25">
        <v>40</v>
      </c>
      <c r="N84" s="25">
        <v>197</v>
      </c>
      <c r="O84" s="25">
        <v>40</v>
      </c>
      <c r="P84" s="25">
        <v>197</v>
      </c>
      <c r="Q84" s="25">
        <v>40</v>
      </c>
      <c r="R84" s="26">
        <f>IFERROR((Table4[[#This Row],[30.04.2025 Individus]]-Table4[[#This Row],[31.03.2025 Individus]])/Table4[[#This Row],[31.03.2025 Individus]],0)</f>
        <v>0</v>
      </c>
      <c r="S84" s="25">
        <f>Table4[[#This Row],[30.04.2025 Individus]]-Table4[[#This Row],[31.03.2025 Individus]]</f>
        <v>0</v>
      </c>
      <c r="T84" s="25" t="str">
        <f>IF(Table4[[#This Row],[Différence]]&lt;0,"Retournés","Déplacés")</f>
        <v>Déplacés</v>
      </c>
      <c r="U84" s="25" t="s">
        <v>591</v>
      </c>
      <c r="V84" s="25" t="str">
        <f>IF(Table4[[#This Row],[Evolution]]=0,"Non","Oui")</f>
        <v>Non</v>
      </c>
      <c r="W84" s="25" t="s">
        <v>725</v>
      </c>
      <c r="X84" s="42" t="s">
        <v>197</v>
      </c>
    </row>
    <row r="85" spans="1:24" s="9" customFormat="1" x14ac:dyDescent="0.3">
      <c r="A85" s="47">
        <v>80</v>
      </c>
      <c r="B85" s="25" t="s">
        <v>400</v>
      </c>
      <c r="C85" s="25" t="s">
        <v>248</v>
      </c>
      <c r="D85" s="25" t="s">
        <v>424</v>
      </c>
      <c r="E85" s="25" t="s">
        <v>273</v>
      </c>
      <c r="F85" s="25" t="s">
        <v>492</v>
      </c>
      <c r="G85" s="25" t="s">
        <v>339</v>
      </c>
      <c r="H85" s="25">
        <v>4073</v>
      </c>
      <c r="I85" s="25">
        <v>801</v>
      </c>
      <c r="J85" s="25">
        <v>4073</v>
      </c>
      <c r="K85" s="25">
        <v>801</v>
      </c>
      <c r="L85" s="25">
        <v>4073</v>
      </c>
      <c r="M85" s="25">
        <v>801</v>
      </c>
      <c r="N85" s="25">
        <v>4073</v>
      </c>
      <c r="O85" s="25">
        <v>801</v>
      </c>
      <c r="P85" s="25">
        <v>4073</v>
      </c>
      <c r="Q85" s="25">
        <v>801</v>
      </c>
      <c r="R85" s="26">
        <f>IFERROR((Table4[[#This Row],[30.04.2025 Individus]]-Table4[[#This Row],[31.03.2025 Individus]])/Table4[[#This Row],[31.03.2025 Individus]],0)</f>
        <v>0</v>
      </c>
      <c r="S85" s="25">
        <f>Table4[[#This Row],[30.04.2025 Individus]]-Table4[[#This Row],[31.03.2025 Individus]]</f>
        <v>0</v>
      </c>
      <c r="T85" s="25" t="str">
        <f>IF(Table4[[#This Row],[Différence]]&lt;0,"Retournés","Déplacés")</f>
        <v>Déplacés</v>
      </c>
      <c r="U85" s="25" t="s">
        <v>591</v>
      </c>
      <c r="V85" s="25" t="str">
        <f>IF(Table4[[#This Row],[Evolution]]=0,"Non","Oui")</f>
        <v>Non</v>
      </c>
      <c r="W85" s="25" t="s">
        <v>725</v>
      </c>
      <c r="X85" s="42" t="s">
        <v>197</v>
      </c>
    </row>
    <row r="86" spans="1:24" s="9" customFormat="1" x14ac:dyDescent="0.3">
      <c r="A86" s="47">
        <v>81</v>
      </c>
      <c r="B86" s="25" t="s">
        <v>400</v>
      </c>
      <c r="C86" s="25" t="s">
        <v>248</v>
      </c>
      <c r="D86" s="25" t="s">
        <v>424</v>
      </c>
      <c r="E86" s="25" t="s">
        <v>273</v>
      </c>
      <c r="F86" s="25" t="s">
        <v>490</v>
      </c>
      <c r="G86" s="25" t="s">
        <v>337</v>
      </c>
      <c r="H86" s="25">
        <v>383</v>
      </c>
      <c r="I86" s="25">
        <v>75</v>
      </c>
      <c r="J86" s="25">
        <v>383</v>
      </c>
      <c r="K86" s="25">
        <v>75</v>
      </c>
      <c r="L86" s="25">
        <v>383</v>
      </c>
      <c r="M86" s="25">
        <v>75</v>
      </c>
      <c r="N86" s="25">
        <v>383</v>
      </c>
      <c r="O86" s="25">
        <v>75</v>
      </c>
      <c r="P86" s="25">
        <v>383</v>
      </c>
      <c r="Q86" s="25">
        <v>75</v>
      </c>
      <c r="R86" s="26">
        <f>IFERROR((Table4[[#This Row],[30.04.2025 Individus]]-Table4[[#This Row],[31.03.2025 Individus]])/Table4[[#This Row],[31.03.2025 Individus]],0)</f>
        <v>0</v>
      </c>
      <c r="S86" s="25">
        <f>Table4[[#This Row],[30.04.2025 Individus]]-Table4[[#This Row],[31.03.2025 Individus]]</f>
        <v>0</v>
      </c>
      <c r="T86" s="25" t="str">
        <f>IF(Table4[[#This Row],[Différence]]&lt;0,"Retournés","Déplacés")</f>
        <v>Déplacés</v>
      </c>
      <c r="U86" s="25" t="s">
        <v>591</v>
      </c>
      <c r="V86" s="25" t="str">
        <f>IF(Table4[[#This Row],[Evolution]]=0,"Non","Oui")</f>
        <v>Non</v>
      </c>
      <c r="W86" s="25" t="s">
        <v>725</v>
      </c>
      <c r="X86" s="42" t="s">
        <v>197</v>
      </c>
    </row>
    <row r="87" spans="1:24" s="9" customFormat="1" x14ac:dyDescent="0.3">
      <c r="A87" s="47">
        <v>82</v>
      </c>
      <c r="B87" s="25" t="s">
        <v>400</v>
      </c>
      <c r="C87" s="25" t="s">
        <v>248</v>
      </c>
      <c r="D87" s="25" t="s">
        <v>424</v>
      </c>
      <c r="E87" s="25" t="s">
        <v>273</v>
      </c>
      <c r="F87" s="25" t="s">
        <v>489</v>
      </c>
      <c r="G87" s="25" t="s">
        <v>336</v>
      </c>
      <c r="H87" s="25">
        <v>578</v>
      </c>
      <c r="I87" s="25">
        <v>116</v>
      </c>
      <c r="J87" s="25">
        <v>578</v>
      </c>
      <c r="K87" s="25">
        <v>116</v>
      </c>
      <c r="L87" s="25">
        <v>578</v>
      </c>
      <c r="M87" s="25">
        <v>116</v>
      </c>
      <c r="N87" s="25">
        <v>578</v>
      </c>
      <c r="O87" s="25">
        <v>116</v>
      </c>
      <c r="P87" s="25">
        <v>578</v>
      </c>
      <c r="Q87" s="25">
        <v>116</v>
      </c>
      <c r="R87" s="26">
        <f>IFERROR((Table4[[#This Row],[30.04.2025 Individus]]-Table4[[#This Row],[31.03.2025 Individus]])/Table4[[#This Row],[31.03.2025 Individus]],0)</f>
        <v>0</v>
      </c>
      <c r="S87" s="25">
        <f>Table4[[#This Row],[30.04.2025 Individus]]-Table4[[#This Row],[31.03.2025 Individus]]</f>
        <v>0</v>
      </c>
      <c r="T87" s="25" t="str">
        <f>IF(Table4[[#This Row],[Différence]]&lt;0,"Retournés","Déplacés")</f>
        <v>Déplacés</v>
      </c>
      <c r="U87" s="25" t="s">
        <v>591</v>
      </c>
      <c r="V87" s="25" t="str">
        <f>IF(Table4[[#This Row],[Evolution]]=0,"Non","Oui")</f>
        <v>Non</v>
      </c>
      <c r="W87" s="25" t="s">
        <v>725</v>
      </c>
      <c r="X87" s="42" t="s">
        <v>197</v>
      </c>
    </row>
    <row r="88" spans="1:24" s="9" customFormat="1" x14ac:dyDescent="0.3">
      <c r="A88" s="47">
        <v>83</v>
      </c>
      <c r="B88" s="25" t="s">
        <v>400</v>
      </c>
      <c r="C88" s="25" t="s">
        <v>248</v>
      </c>
      <c r="D88" s="25" t="s">
        <v>426</v>
      </c>
      <c r="E88" s="25" t="s">
        <v>277</v>
      </c>
      <c r="F88" s="25" t="s">
        <v>626</v>
      </c>
      <c r="G88" s="25" t="s">
        <v>631</v>
      </c>
      <c r="H88" s="25">
        <v>1861</v>
      </c>
      <c r="I88" s="25">
        <v>340</v>
      </c>
      <c r="J88" s="25">
        <v>1861</v>
      </c>
      <c r="K88" s="25">
        <v>340</v>
      </c>
      <c r="L88" s="25">
        <v>1925</v>
      </c>
      <c r="M88" s="25">
        <v>352</v>
      </c>
      <c r="N88" s="25">
        <v>1925</v>
      </c>
      <c r="O88" s="25">
        <v>352</v>
      </c>
      <c r="P88" s="25">
        <v>1925</v>
      </c>
      <c r="Q88" s="25">
        <v>352</v>
      </c>
      <c r="R88" s="26">
        <f>IFERROR((Table4[[#This Row],[30.04.2025 Individus]]-Table4[[#This Row],[31.03.2025 Individus]])/Table4[[#This Row],[31.03.2025 Individus]],0)</f>
        <v>0</v>
      </c>
      <c r="S88" s="25">
        <f>Table4[[#This Row],[30.04.2025 Individus]]-Table4[[#This Row],[31.03.2025 Individus]]</f>
        <v>0</v>
      </c>
      <c r="T88" s="25" t="str">
        <f>IF(Table4[[#This Row],[Différence]]&lt;0,"Retournés","Déplacés")</f>
        <v>Déplacés</v>
      </c>
      <c r="U88" s="25" t="s">
        <v>591</v>
      </c>
      <c r="V88" s="25" t="str">
        <f>IF(Table4[[#This Row],[Evolution]]=0,"Non","Oui")</f>
        <v>Non</v>
      </c>
      <c r="W88" s="25" t="s">
        <v>725</v>
      </c>
      <c r="X88" s="42" t="s">
        <v>197</v>
      </c>
    </row>
    <row r="89" spans="1:24" s="9" customFormat="1" x14ac:dyDescent="0.3">
      <c r="A89" s="47">
        <v>84</v>
      </c>
      <c r="B89" s="25" t="s">
        <v>400</v>
      </c>
      <c r="C89" s="25" t="s">
        <v>248</v>
      </c>
      <c r="D89" s="25" t="s">
        <v>427</v>
      </c>
      <c r="E89" s="25" t="s">
        <v>278</v>
      </c>
      <c r="F89" s="25" t="s">
        <v>627</v>
      </c>
      <c r="G89" s="25" t="s">
        <v>632</v>
      </c>
      <c r="H89" s="25">
        <v>161</v>
      </c>
      <c r="I89" s="25">
        <v>32</v>
      </c>
      <c r="J89" s="25">
        <v>161</v>
      </c>
      <c r="K89" s="25">
        <v>32</v>
      </c>
      <c r="L89" s="25">
        <v>161</v>
      </c>
      <c r="M89" s="25">
        <v>32</v>
      </c>
      <c r="N89" s="25">
        <v>161</v>
      </c>
      <c r="O89" s="25">
        <v>32</v>
      </c>
      <c r="P89" s="25">
        <v>161</v>
      </c>
      <c r="Q89" s="25">
        <v>32</v>
      </c>
      <c r="R89" s="26">
        <f>IFERROR((Table4[[#This Row],[30.04.2025 Individus]]-Table4[[#This Row],[31.03.2025 Individus]])/Table4[[#This Row],[31.03.2025 Individus]],0)</f>
        <v>0</v>
      </c>
      <c r="S89" s="25">
        <f>Table4[[#This Row],[30.04.2025 Individus]]-Table4[[#This Row],[31.03.2025 Individus]]</f>
        <v>0</v>
      </c>
      <c r="T89" s="25" t="str">
        <f>IF(Table4[[#This Row],[Différence]]&lt;0,"Retournés","Déplacés")</f>
        <v>Déplacés</v>
      </c>
      <c r="U89" s="25" t="s">
        <v>591</v>
      </c>
      <c r="V89" s="25" t="str">
        <f>IF(Table4[[#This Row],[Evolution]]=0,"Non","Oui")</f>
        <v>Non</v>
      </c>
      <c r="W89" s="25" t="s">
        <v>725</v>
      </c>
      <c r="X89" s="42" t="s">
        <v>197</v>
      </c>
    </row>
    <row r="90" spans="1:24" s="9" customFormat="1" x14ac:dyDescent="0.3">
      <c r="A90" s="47">
        <v>85</v>
      </c>
      <c r="B90" s="25" t="s">
        <v>400</v>
      </c>
      <c r="C90" s="25" t="s">
        <v>248</v>
      </c>
      <c r="D90" s="25" t="s">
        <v>425</v>
      </c>
      <c r="E90" s="25" t="s">
        <v>275</v>
      </c>
      <c r="F90" s="25" t="s">
        <v>493</v>
      </c>
      <c r="G90" s="25" t="s">
        <v>340</v>
      </c>
      <c r="H90" s="25">
        <v>20</v>
      </c>
      <c r="I90" s="25">
        <v>6</v>
      </c>
      <c r="J90" s="25">
        <v>20</v>
      </c>
      <c r="K90" s="25">
        <v>6</v>
      </c>
      <c r="L90" s="25">
        <v>20</v>
      </c>
      <c r="M90" s="25">
        <v>6</v>
      </c>
      <c r="N90" s="25">
        <v>20</v>
      </c>
      <c r="O90" s="25">
        <v>6</v>
      </c>
      <c r="P90" s="25">
        <v>20</v>
      </c>
      <c r="Q90" s="25">
        <v>6</v>
      </c>
      <c r="R90" s="26">
        <f>IFERROR((Table4[[#This Row],[30.04.2025 Individus]]-Table4[[#This Row],[31.03.2025 Individus]])/Table4[[#This Row],[31.03.2025 Individus]],0)</f>
        <v>0</v>
      </c>
      <c r="S90" s="25">
        <f>Table4[[#This Row],[30.04.2025 Individus]]-Table4[[#This Row],[31.03.2025 Individus]]</f>
        <v>0</v>
      </c>
      <c r="T90" s="25" t="str">
        <f>IF(Table4[[#This Row],[Différence]]&lt;0,"Retournés","Déplacés")</f>
        <v>Déplacés</v>
      </c>
      <c r="U90" s="25" t="s">
        <v>591</v>
      </c>
      <c r="V90" s="25" t="str">
        <f>IF(Table4[[#This Row],[Evolution]]=0,"Non","Oui")</f>
        <v>Non</v>
      </c>
      <c r="W90" s="25" t="s">
        <v>725</v>
      </c>
      <c r="X90" s="42" t="s">
        <v>197</v>
      </c>
    </row>
    <row r="91" spans="1:24" s="9" customFormat="1" x14ac:dyDescent="0.3">
      <c r="A91" s="47">
        <v>86</v>
      </c>
      <c r="B91" s="25" t="s">
        <v>59</v>
      </c>
      <c r="C91" s="25" t="s">
        <v>58</v>
      </c>
      <c r="D91" s="25" t="s">
        <v>428</v>
      </c>
      <c r="E91" s="25" t="s">
        <v>279</v>
      </c>
      <c r="F91" s="25" t="s">
        <v>495</v>
      </c>
      <c r="G91" s="25" t="s">
        <v>279</v>
      </c>
      <c r="H91" s="25">
        <v>1060</v>
      </c>
      <c r="I91" s="25">
        <v>212</v>
      </c>
      <c r="J91" s="25">
        <v>1108</v>
      </c>
      <c r="K91" s="25">
        <v>203</v>
      </c>
      <c r="L91" s="25">
        <v>1108</v>
      </c>
      <c r="M91" s="25">
        <v>203</v>
      </c>
      <c r="N91" s="25">
        <f>1108-855</f>
        <v>253</v>
      </c>
      <c r="O91" s="25">
        <v>203</v>
      </c>
      <c r="P91" s="25">
        <f>1108-855</f>
        <v>253</v>
      </c>
      <c r="Q91" s="25">
        <v>203</v>
      </c>
      <c r="R91" s="26">
        <f>IFERROR((Table4[[#This Row],[30.04.2025 Individus]]-Table4[[#This Row],[31.03.2025 Individus]])/Table4[[#This Row],[31.03.2025 Individus]],0)</f>
        <v>0</v>
      </c>
      <c r="S91" s="25">
        <f>Table4[[#This Row],[30.04.2025 Individus]]-Table4[[#This Row],[31.03.2025 Individus]]</f>
        <v>0</v>
      </c>
      <c r="T91" s="25" t="str">
        <f>IF(Table4[[#This Row],[Différence]]&lt;0,"Retournés","Déplacés")</f>
        <v>Déplacés</v>
      </c>
      <c r="U91" s="25" t="s">
        <v>761</v>
      </c>
      <c r="V91" s="25" t="str">
        <f>IF(Table4[[#This Row],[Evolution]]=0,"Non","Oui")</f>
        <v>Non</v>
      </c>
      <c r="W91" s="25" t="s">
        <v>778</v>
      </c>
      <c r="X91" s="42" t="s">
        <v>765</v>
      </c>
    </row>
    <row r="92" spans="1:24" s="9" customFormat="1" x14ac:dyDescent="0.3">
      <c r="A92" s="47">
        <v>87</v>
      </c>
      <c r="B92" s="25" t="s">
        <v>59</v>
      </c>
      <c r="C92" s="25" t="s">
        <v>58</v>
      </c>
      <c r="D92" s="25" t="s">
        <v>428</v>
      </c>
      <c r="E92" s="25" t="s">
        <v>279</v>
      </c>
      <c r="F92" s="25" t="s">
        <v>496</v>
      </c>
      <c r="G92" s="25" t="s">
        <v>343</v>
      </c>
      <c r="H92" s="25">
        <v>750</v>
      </c>
      <c r="I92" s="25">
        <v>155</v>
      </c>
      <c r="J92" s="25">
        <v>75</v>
      </c>
      <c r="K92" s="25">
        <v>14</v>
      </c>
      <c r="L92" s="25">
        <v>75</v>
      </c>
      <c r="M92" s="25">
        <v>14</v>
      </c>
      <c r="N92" s="25">
        <v>75</v>
      </c>
      <c r="O92" s="25">
        <v>14</v>
      </c>
      <c r="P92" s="25">
        <v>75</v>
      </c>
      <c r="Q92" s="25">
        <v>14</v>
      </c>
      <c r="R92" s="26">
        <f>IFERROR((Table4[[#This Row],[30.04.2025 Individus]]-Table4[[#This Row],[31.03.2025 Individus]])/Table4[[#This Row],[31.03.2025 Individus]],0)</f>
        <v>0</v>
      </c>
      <c r="S92" s="25">
        <f>Table4[[#This Row],[30.04.2025 Individus]]-Table4[[#This Row],[31.03.2025 Individus]]</f>
        <v>0</v>
      </c>
      <c r="T92" s="25" t="str">
        <f>IF(Table4[[#This Row],[Différence]]&lt;0,"Retournés","Déplacés")</f>
        <v>Déplacés</v>
      </c>
      <c r="U92" s="25" t="s">
        <v>591</v>
      </c>
      <c r="V92" s="25" t="str">
        <f>IF(Table4[[#This Row],[Evolution]]=0,"Non","Oui")</f>
        <v>Non</v>
      </c>
      <c r="W92" s="25" t="s">
        <v>725</v>
      </c>
      <c r="X92" s="42" t="s">
        <v>197</v>
      </c>
    </row>
    <row r="93" spans="1:24" s="9" customFormat="1" x14ac:dyDescent="0.3">
      <c r="A93" s="47">
        <v>88</v>
      </c>
      <c r="B93" s="25" t="s">
        <v>59</v>
      </c>
      <c r="C93" s="25" t="s">
        <v>58</v>
      </c>
      <c r="D93" s="25" t="s">
        <v>428</v>
      </c>
      <c r="E93" s="25" t="s">
        <v>279</v>
      </c>
      <c r="F93" s="25" t="s">
        <v>497</v>
      </c>
      <c r="G93" s="25" t="s">
        <v>344</v>
      </c>
      <c r="H93" s="25">
        <v>27</v>
      </c>
      <c r="I93" s="25">
        <v>7</v>
      </c>
      <c r="J93" s="25">
        <v>0</v>
      </c>
      <c r="K93" s="25">
        <v>0</v>
      </c>
      <c r="L93" s="25">
        <v>0</v>
      </c>
      <c r="M93" s="25">
        <v>0</v>
      </c>
      <c r="N93" s="25">
        <v>0</v>
      </c>
      <c r="O93" s="25">
        <v>0</v>
      </c>
      <c r="P93" s="25">
        <v>0</v>
      </c>
      <c r="Q93" s="25">
        <v>0</v>
      </c>
      <c r="R93" s="26">
        <f>IFERROR((Table4[[#This Row],[30.04.2025 Individus]]-Table4[[#This Row],[31.03.2025 Individus]])/Table4[[#This Row],[31.03.2025 Individus]],0)</f>
        <v>0</v>
      </c>
      <c r="S93" s="25">
        <f>Table4[[#This Row],[30.04.2025 Individus]]-Table4[[#This Row],[31.03.2025 Individus]]</f>
        <v>0</v>
      </c>
      <c r="T93" s="25" t="str">
        <f>IF(Table4[[#This Row],[Différence]]&lt;0,"Retournés","Déplacés")</f>
        <v>Déplacés</v>
      </c>
      <c r="U93" s="25" t="s">
        <v>591</v>
      </c>
      <c r="V93" s="25" t="str">
        <f>IF(Table4[[#This Row],[Evolution]]=0,"Non","Oui")</f>
        <v>Non</v>
      </c>
      <c r="W93" s="25" t="s">
        <v>725</v>
      </c>
      <c r="X93" s="42" t="s">
        <v>197</v>
      </c>
    </row>
    <row r="94" spans="1:24" s="9" customFormat="1" x14ac:dyDescent="0.3">
      <c r="A94" s="47">
        <v>89</v>
      </c>
      <c r="B94" s="25" t="s">
        <v>59</v>
      </c>
      <c r="C94" s="25" t="s">
        <v>58</v>
      </c>
      <c r="D94" s="25" t="s">
        <v>428</v>
      </c>
      <c r="E94" s="25" t="s">
        <v>279</v>
      </c>
      <c r="F94" s="25" t="s">
        <v>498</v>
      </c>
      <c r="G94" s="25" t="s">
        <v>345</v>
      </c>
      <c r="H94" s="25">
        <v>120</v>
      </c>
      <c r="I94" s="25">
        <v>27</v>
      </c>
      <c r="J94" s="25">
        <v>88</v>
      </c>
      <c r="K94" s="25">
        <v>19</v>
      </c>
      <c r="L94" s="25">
        <v>88</v>
      </c>
      <c r="M94" s="25">
        <v>19</v>
      </c>
      <c r="N94" s="25">
        <v>88</v>
      </c>
      <c r="O94" s="25">
        <v>19</v>
      </c>
      <c r="P94" s="25">
        <v>88</v>
      </c>
      <c r="Q94" s="25">
        <v>19</v>
      </c>
      <c r="R94" s="26">
        <f>IFERROR((Table4[[#This Row],[30.04.2025 Individus]]-Table4[[#This Row],[31.03.2025 Individus]])/Table4[[#This Row],[31.03.2025 Individus]],0)</f>
        <v>0</v>
      </c>
      <c r="S94" s="25">
        <f>Table4[[#This Row],[30.04.2025 Individus]]-Table4[[#This Row],[31.03.2025 Individus]]</f>
        <v>0</v>
      </c>
      <c r="T94" s="25" t="str">
        <f>IF(Table4[[#This Row],[Différence]]&lt;0,"Retournés","Déplacés")</f>
        <v>Déplacés</v>
      </c>
      <c r="U94" s="25" t="s">
        <v>591</v>
      </c>
      <c r="V94" s="25" t="str">
        <f>IF(Table4[[#This Row],[Evolution]]=0,"Non","Oui")</f>
        <v>Non</v>
      </c>
      <c r="W94" s="25" t="s">
        <v>725</v>
      </c>
      <c r="X94" s="42" t="s">
        <v>197</v>
      </c>
    </row>
    <row r="95" spans="1:24" s="9" customFormat="1" x14ac:dyDescent="0.3">
      <c r="A95" s="47">
        <v>90</v>
      </c>
      <c r="B95" s="25" t="s">
        <v>59</v>
      </c>
      <c r="C95" s="25" t="s">
        <v>58</v>
      </c>
      <c r="D95" s="25" t="s">
        <v>430</v>
      </c>
      <c r="E95" s="25" t="s">
        <v>281</v>
      </c>
      <c r="F95" s="25" t="s">
        <v>502</v>
      </c>
      <c r="G95" s="25" t="s">
        <v>281</v>
      </c>
      <c r="H95" s="25">
        <v>44</v>
      </c>
      <c r="I95" s="25">
        <v>8</v>
      </c>
      <c r="J95" s="25">
        <v>40</v>
      </c>
      <c r="K95" s="25">
        <v>7</v>
      </c>
      <c r="L95" s="25">
        <v>40</v>
      </c>
      <c r="M95" s="25">
        <v>7</v>
      </c>
      <c r="N95" s="25">
        <v>40</v>
      </c>
      <c r="O95" s="25">
        <v>7</v>
      </c>
      <c r="P95" s="25">
        <v>40</v>
      </c>
      <c r="Q95" s="25">
        <v>7</v>
      </c>
      <c r="R95" s="26">
        <f>IFERROR((Table4[[#This Row],[30.04.2025 Individus]]-Table4[[#This Row],[31.03.2025 Individus]])/Table4[[#This Row],[31.03.2025 Individus]],0)</f>
        <v>0</v>
      </c>
      <c r="S95" s="25">
        <f>Table4[[#This Row],[30.04.2025 Individus]]-Table4[[#This Row],[31.03.2025 Individus]]</f>
        <v>0</v>
      </c>
      <c r="T95" s="25" t="str">
        <f>IF(Table4[[#This Row],[Différence]]&lt;0,"Retournés","Déplacés")</f>
        <v>Déplacés</v>
      </c>
      <c r="U95" s="25" t="s">
        <v>591</v>
      </c>
      <c r="V95" s="25" t="str">
        <f>IF(Table4[[#This Row],[Evolution]]=0,"Non","Oui")</f>
        <v>Non</v>
      </c>
      <c r="W95" s="25" t="s">
        <v>725</v>
      </c>
      <c r="X95" s="42" t="s">
        <v>197</v>
      </c>
    </row>
    <row r="96" spans="1:24" s="9" customFormat="1" x14ac:dyDescent="0.3">
      <c r="A96" s="47">
        <v>91</v>
      </c>
      <c r="B96" s="25" t="s">
        <v>59</v>
      </c>
      <c r="C96" s="25" t="s">
        <v>58</v>
      </c>
      <c r="D96" s="25" t="s">
        <v>430</v>
      </c>
      <c r="E96" s="25" t="s">
        <v>281</v>
      </c>
      <c r="F96" s="25" t="s">
        <v>501</v>
      </c>
      <c r="G96" s="25" t="s">
        <v>347</v>
      </c>
      <c r="H96" s="25">
        <v>45</v>
      </c>
      <c r="I96" s="25">
        <v>10</v>
      </c>
      <c r="J96" s="25">
        <v>16</v>
      </c>
      <c r="K96" s="25">
        <v>3</v>
      </c>
      <c r="L96" s="25">
        <v>16</v>
      </c>
      <c r="M96" s="25">
        <v>3</v>
      </c>
      <c r="N96" s="25">
        <v>16</v>
      </c>
      <c r="O96" s="25">
        <v>3</v>
      </c>
      <c r="P96" s="25">
        <v>16</v>
      </c>
      <c r="Q96" s="25">
        <v>3</v>
      </c>
      <c r="R96" s="26">
        <f>IFERROR((Table4[[#This Row],[30.04.2025 Individus]]-Table4[[#This Row],[31.03.2025 Individus]])/Table4[[#This Row],[31.03.2025 Individus]],0)</f>
        <v>0</v>
      </c>
      <c r="S96" s="25">
        <f>Table4[[#This Row],[30.04.2025 Individus]]-Table4[[#This Row],[31.03.2025 Individus]]</f>
        <v>0</v>
      </c>
      <c r="T96" s="25" t="str">
        <f>IF(Table4[[#This Row],[Différence]]&lt;0,"Retournés","Déplacés")</f>
        <v>Déplacés</v>
      </c>
      <c r="U96" s="25" t="s">
        <v>591</v>
      </c>
      <c r="V96" s="25" t="str">
        <f>IF(Table4[[#This Row],[Evolution]]=0,"Non","Oui")</f>
        <v>Non</v>
      </c>
      <c r="W96" s="25" t="s">
        <v>725</v>
      </c>
      <c r="X96" s="42" t="s">
        <v>197</v>
      </c>
    </row>
    <row r="97" spans="1:24" s="9" customFormat="1" x14ac:dyDescent="0.3">
      <c r="A97" s="47">
        <v>92</v>
      </c>
      <c r="B97" s="25" t="s">
        <v>59</v>
      </c>
      <c r="C97" s="25" t="s">
        <v>58</v>
      </c>
      <c r="D97" s="25" t="s">
        <v>429</v>
      </c>
      <c r="E97" s="25" t="s">
        <v>280</v>
      </c>
      <c r="F97" s="25" t="s">
        <v>499</v>
      </c>
      <c r="G97" s="25" t="s">
        <v>280</v>
      </c>
      <c r="H97" s="25">
        <v>555</v>
      </c>
      <c r="I97" s="25">
        <v>111</v>
      </c>
      <c r="J97" s="25">
        <v>21</v>
      </c>
      <c r="K97" s="25">
        <v>5</v>
      </c>
      <c r="L97" s="25">
        <v>21</v>
      </c>
      <c r="M97" s="25">
        <v>5</v>
      </c>
      <c r="N97" s="25">
        <v>585</v>
      </c>
      <c r="O97" s="25">
        <v>117</v>
      </c>
      <c r="P97" s="25">
        <v>585</v>
      </c>
      <c r="Q97" s="25">
        <v>117</v>
      </c>
      <c r="R97" s="26">
        <f>IFERROR((Table4[[#This Row],[30.04.2025 Individus]]-Table4[[#This Row],[31.03.2025 Individus]])/Table4[[#This Row],[31.03.2025 Individus]],0)</f>
        <v>0</v>
      </c>
      <c r="S97" s="25">
        <f>Table4[[#This Row],[30.04.2025 Individus]]-Table4[[#This Row],[31.03.2025 Individus]]</f>
        <v>0</v>
      </c>
      <c r="T97" s="25" t="str">
        <f>IF(Table4[[#This Row],[Différence]]&lt;0,"Retournés","Déplacés")</f>
        <v>Déplacés</v>
      </c>
      <c r="U97" s="25" t="s">
        <v>761</v>
      </c>
      <c r="V97" s="25" t="str">
        <f>IF(Table4[[#This Row],[Evolution]]=0,"Non","Oui")</f>
        <v>Non</v>
      </c>
      <c r="W97" s="25" t="s">
        <v>790</v>
      </c>
      <c r="X97" s="42" t="s">
        <v>789</v>
      </c>
    </row>
    <row r="98" spans="1:24" s="9" customFormat="1" x14ac:dyDescent="0.3">
      <c r="A98" s="47">
        <v>93</v>
      </c>
      <c r="B98" s="25" t="s">
        <v>59</v>
      </c>
      <c r="C98" s="25" t="s">
        <v>58</v>
      </c>
      <c r="D98" s="25" t="s">
        <v>429</v>
      </c>
      <c r="E98" s="25" t="s">
        <v>280</v>
      </c>
      <c r="F98" s="25" t="s">
        <v>500</v>
      </c>
      <c r="G98" s="25" t="s">
        <v>346</v>
      </c>
      <c r="H98" s="25">
        <v>35</v>
      </c>
      <c r="I98" s="25">
        <v>8</v>
      </c>
      <c r="J98" s="25">
        <v>20</v>
      </c>
      <c r="K98" s="25">
        <v>5</v>
      </c>
      <c r="L98" s="25">
        <v>20</v>
      </c>
      <c r="M98" s="25">
        <v>5</v>
      </c>
      <c r="N98" s="25">
        <v>20</v>
      </c>
      <c r="O98" s="25">
        <v>5</v>
      </c>
      <c r="P98" s="25">
        <v>20</v>
      </c>
      <c r="Q98" s="25">
        <v>5</v>
      </c>
      <c r="R98" s="26">
        <f>IFERROR((Table4[[#This Row],[30.04.2025 Individus]]-Table4[[#This Row],[31.03.2025 Individus]])/Table4[[#This Row],[31.03.2025 Individus]],0)</f>
        <v>0</v>
      </c>
      <c r="S98" s="25">
        <f>Table4[[#This Row],[30.04.2025 Individus]]-Table4[[#This Row],[31.03.2025 Individus]]</f>
        <v>0</v>
      </c>
      <c r="T98" s="25" t="str">
        <f>IF(Table4[[#This Row],[Différence]]&lt;0,"Retournés","Déplacés")</f>
        <v>Déplacés</v>
      </c>
      <c r="U98" s="25" t="s">
        <v>591</v>
      </c>
      <c r="V98" s="25" t="str">
        <f>IF(Table4[[#This Row],[Evolution]]=0,"Non","Oui")</f>
        <v>Non</v>
      </c>
      <c r="W98" s="25" t="s">
        <v>725</v>
      </c>
      <c r="X98" s="42" t="s">
        <v>197</v>
      </c>
    </row>
    <row r="99" spans="1:24" s="9" customFormat="1" x14ac:dyDescent="0.3">
      <c r="A99" s="47">
        <v>94</v>
      </c>
      <c r="B99" s="25" t="s">
        <v>59</v>
      </c>
      <c r="C99" s="25" t="s">
        <v>58</v>
      </c>
      <c r="D99" s="25" t="s">
        <v>61</v>
      </c>
      <c r="E99" s="25" t="s">
        <v>60</v>
      </c>
      <c r="F99" s="25" t="s">
        <v>62</v>
      </c>
      <c r="G99" s="25" t="s">
        <v>60</v>
      </c>
      <c r="H99" s="25">
        <v>1887</v>
      </c>
      <c r="I99" s="25">
        <v>245</v>
      </c>
      <c r="J99" s="25">
        <v>804</v>
      </c>
      <c r="K99" s="25">
        <v>155</v>
      </c>
      <c r="L99" s="25">
        <v>804</v>
      </c>
      <c r="M99" s="25">
        <v>155</v>
      </c>
      <c r="N99" s="25">
        <v>804</v>
      </c>
      <c r="O99" s="25">
        <v>155</v>
      </c>
      <c r="P99" s="25">
        <v>804</v>
      </c>
      <c r="Q99" s="25">
        <v>155</v>
      </c>
      <c r="R99" s="26">
        <f>IFERROR((Table4[[#This Row],[30.04.2025 Individus]]-Table4[[#This Row],[31.03.2025 Individus]])/Table4[[#This Row],[31.03.2025 Individus]],0)</f>
        <v>0</v>
      </c>
      <c r="S99" s="25">
        <f>Table4[[#This Row],[30.04.2025 Individus]]-Table4[[#This Row],[31.03.2025 Individus]]</f>
        <v>0</v>
      </c>
      <c r="T99" s="25" t="str">
        <f>IF(Table4[[#This Row],[Différence]]&lt;0,"Retournés","Déplacés")</f>
        <v>Déplacés</v>
      </c>
      <c r="U99" s="25" t="s">
        <v>591</v>
      </c>
      <c r="V99" s="25" t="str">
        <f>IF(Table4[[#This Row],[Evolution]]=0,"Non","Oui")</f>
        <v>Non</v>
      </c>
      <c r="W99" s="25" t="s">
        <v>556</v>
      </c>
      <c r="X99" s="42" t="s">
        <v>556</v>
      </c>
    </row>
    <row r="100" spans="1:24" s="9" customFormat="1" x14ac:dyDescent="0.3">
      <c r="A100" s="47">
        <v>95</v>
      </c>
      <c r="B100" s="25" t="s">
        <v>59</v>
      </c>
      <c r="C100" s="25" t="s">
        <v>58</v>
      </c>
      <c r="D100" s="25" t="s">
        <v>73</v>
      </c>
      <c r="E100" s="25" t="s">
        <v>72</v>
      </c>
      <c r="F100" s="25" t="s">
        <v>494</v>
      </c>
      <c r="G100" s="25" t="s">
        <v>72</v>
      </c>
      <c r="H100" s="25">
        <v>6748</v>
      </c>
      <c r="I100" s="25">
        <v>1484</v>
      </c>
      <c r="J100" s="25">
        <v>3076</v>
      </c>
      <c r="K100" s="25">
        <v>591</v>
      </c>
      <c r="L100" s="25">
        <v>3076</v>
      </c>
      <c r="M100" s="25">
        <v>591</v>
      </c>
      <c r="N100" s="25">
        <v>3076</v>
      </c>
      <c r="O100" s="25">
        <v>591</v>
      </c>
      <c r="P100" s="25">
        <v>3076</v>
      </c>
      <c r="Q100" s="25">
        <v>591</v>
      </c>
      <c r="R100" s="26">
        <f>IFERROR((Table4[[#This Row],[30.04.2025 Individus]]-Table4[[#This Row],[31.03.2025 Individus]])/Table4[[#This Row],[31.03.2025 Individus]],0)</f>
        <v>0</v>
      </c>
      <c r="S100" s="25">
        <f>Table4[[#This Row],[30.04.2025 Individus]]-Table4[[#This Row],[31.03.2025 Individus]]</f>
        <v>0</v>
      </c>
      <c r="T100" s="25" t="str">
        <f>IF(Table4[[#This Row],[Différence]]&lt;0,"Retournés","Déplacés")</f>
        <v>Déplacés</v>
      </c>
      <c r="U100" s="25" t="s">
        <v>591</v>
      </c>
      <c r="V100" s="25" t="str">
        <f>IF(Table4[[#This Row],[Evolution]]=0,"Non","Oui")</f>
        <v>Non</v>
      </c>
      <c r="W100" s="25" t="s">
        <v>727</v>
      </c>
      <c r="X100" s="42" t="s">
        <v>201</v>
      </c>
    </row>
    <row r="101" spans="1:24" s="9" customFormat="1" x14ac:dyDescent="0.3">
      <c r="A101" s="47">
        <v>96</v>
      </c>
      <c r="B101" s="25" t="s">
        <v>76</v>
      </c>
      <c r="C101" s="25" t="s">
        <v>75</v>
      </c>
      <c r="D101" s="25" t="s">
        <v>78</v>
      </c>
      <c r="E101" s="25" t="s">
        <v>77</v>
      </c>
      <c r="F101" s="25" t="s">
        <v>79</v>
      </c>
      <c r="G101" s="25" t="s">
        <v>77</v>
      </c>
      <c r="H101" s="25">
        <v>3924</v>
      </c>
      <c r="I101" s="25">
        <v>791</v>
      </c>
      <c r="J101" s="25">
        <v>3515</v>
      </c>
      <c r="K101" s="25">
        <v>704</v>
      </c>
      <c r="L101" s="25">
        <v>3515</v>
      </c>
      <c r="M101" s="25">
        <v>704</v>
      </c>
      <c r="N101" s="25">
        <v>3515</v>
      </c>
      <c r="O101" s="25">
        <v>704</v>
      </c>
      <c r="P101" s="25">
        <v>3515</v>
      </c>
      <c r="Q101" s="25">
        <v>704</v>
      </c>
      <c r="R101" s="26">
        <f>IFERROR((Table4[[#This Row],[30.04.2025 Individus]]-Table4[[#This Row],[31.03.2025 Individus]])/Table4[[#This Row],[31.03.2025 Individus]],0)</f>
        <v>0</v>
      </c>
      <c r="S101" s="25">
        <f>Table4[[#This Row],[30.04.2025 Individus]]-Table4[[#This Row],[31.03.2025 Individus]]</f>
        <v>0</v>
      </c>
      <c r="T101" s="25" t="str">
        <f>IF(Table4[[#This Row],[Différence]]&lt;0,"Retournés","Déplacés")</f>
        <v>Déplacés</v>
      </c>
      <c r="U101" s="25" t="s">
        <v>591</v>
      </c>
      <c r="V101" s="25" t="str">
        <f>IF(Table4[[#This Row],[Evolution]]=0,"Non","Oui")</f>
        <v>Non</v>
      </c>
      <c r="W101" s="25" t="s">
        <v>725</v>
      </c>
      <c r="X101" s="42" t="s">
        <v>197</v>
      </c>
    </row>
    <row r="102" spans="1:24" s="9" customFormat="1" x14ac:dyDescent="0.3">
      <c r="A102" s="47">
        <v>97</v>
      </c>
      <c r="B102" s="25" t="s">
        <v>76</v>
      </c>
      <c r="C102" s="25" t="s">
        <v>75</v>
      </c>
      <c r="D102" s="25" t="s">
        <v>78</v>
      </c>
      <c r="E102" s="25" t="s">
        <v>77</v>
      </c>
      <c r="F102" s="25" t="s">
        <v>503</v>
      </c>
      <c r="G102" s="25" t="s">
        <v>348</v>
      </c>
      <c r="H102" s="25">
        <v>96</v>
      </c>
      <c r="I102" s="25">
        <v>19</v>
      </c>
      <c r="J102" s="25">
        <v>96</v>
      </c>
      <c r="K102" s="25">
        <v>19</v>
      </c>
      <c r="L102" s="25">
        <v>96</v>
      </c>
      <c r="M102" s="25">
        <v>19</v>
      </c>
      <c r="N102" s="25">
        <v>96</v>
      </c>
      <c r="O102" s="25">
        <v>19</v>
      </c>
      <c r="P102" s="25">
        <v>96</v>
      </c>
      <c r="Q102" s="25">
        <v>19</v>
      </c>
      <c r="R102" s="26">
        <f>IFERROR((Table4[[#This Row],[30.04.2025 Individus]]-Table4[[#This Row],[31.03.2025 Individus]])/Table4[[#This Row],[31.03.2025 Individus]],0)</f>
        <v>0</v>
      </c>
      <c r="S102" s="25">
        <f>Table4[[#This Row],[30.04.2025 Individus]]-Table4[[#This Row],[31.03.2025 Individus]]</f>
        <v>0</v>
      </c>
      <c r="T102" s="25" t="str">
        <f>IF(Table4[[#This Row],[Différence]]&lt;0,"Retournés","Déplacés")</f>
        <v>Déplacés</v>
      </c>
      <c r="U102" s="25" t="s">
        <v>591</v>
      </c>
      <c r="V102" s="25" t="str">
        <f>IF(Table4[[#This Row],[Evolution]]=0,"Non","Oui")</f>
        <v>Non</v>
      </c>
      <c r="W102" s="25" t="s">
        <v>725</v>
      </c>
      <c r="X102" s="42" t="s">
        <v>197</v>
      </c>
    </row>
    <row r="103" spans="1:24" s="9" customFormat="1" x14ac:dyDescent="0.3">
      <c r="A103" s="47">
        <v>98</v>
      </c>
      <c r="B103" s="25" t="s">
        <v>76</v>
      </c>
      <c r="C103" s="25" t="s">
        <v>75</v>
      </c>
      <c r="D103" s="25" t="s">
        <v>678</v>
      </c>
      <c r="E103" s="25" t="s">
        <v>89</v>
      </c>
      <c r="F103" s="25" t="s">
        <v>645</v>
      </c>
      <c r="G103" s="25" t="s">
        <v>89</v>
      </c>
      <c r="H103" s="25">
        <v>990</v>
      </c>
      <c r="I103" s="25">
        <v>189</v>
      </c>
      <c r="J103" s="25">
        <v>472</v>
      </c>
      <c r="K103" s="25">
        <v>91</v>
      </c>
      <c r="L103" s="25">
        <v>472</v>
      </c>
      <c r="M103" s="25">
        <v>91</v>
      </c>
      <c r="N103" s="25">
        <v>472</v>
      </c>
      <c r="O103" s="25">
        <v>91</v>
      </c>
      <c r="P103" s="25">
        <v>472</v>
      </c>
      <c r="Q103" s="25">
        <v>91</v>
      </c>
      <c r="R103" s="26">
        <f>IFERROR((Table4[[#This Row],[30.04.2025 Individus]]-Table4[[#This Row],[31.03.2025 Individus]])/Table4[[#This Row],[31.03.2025 Individus]],0)</f>
        <v>0</v>
      </c>
      <c r="S103" s="25">
        <f>Table4[[#This Row],[30.04.2025 Individus]]-Table4[[#This Row],[31.03.2025 Individus]]</f>
        <v>0</v>
      </c>
      <c r="T103" s="25" t="str">
        <f>IF(Table4[[#This Row],[Différence]]&lt;0,"Retournés","Déplacés")</f>
        <v>Déplacés</v>
      </c>
      <c r="U103" s="25" t="s">
        <v>591</v>
      </c>
      <c r="V103" s="25" t="str">
        <f>IF(Table4[[#This Row],[Evolution]]=0,"Non","Oui")</f>
        <v>Non</v>
      </c>
      <c r="W103" s="25" t="s">
        <v>725</v>
      </c>
      <c r="X103" s="42" t="s">
        <v>197</v>
      </c>
    </row>
    <row r="104" spans="1:24" s="9" customFormat="1" x14ac:dyDescent="0.3">
      <c r="A104" s="47">
        <v>99</v>
      </c>
      <c r="B104" s="25" t="s">
        <v>76</v>
      </c>
      <c r="C104" s="25" t="s">
        <v>75</v>
      </c>
      <c r="D104" s="25" t="s">
        <v>78</v>
      </c>
      <c r="E104" s="25" t="s">
        <v>77</v>
      </c>
      <c r="F104" s="25" t="s">
        <v>83</v>
      </c>
      <c r="G104" s="25" t="s">
        <v>82</v>
      </c>
      <c r="H104" s="25">
        <v>478</v>
      </c>
      <c r="I104" s="25">
        <v>92</v>
      </c>
      <c r="J104" s="25">
        <v>799</v>
      </c>
      <c r="K104" s="25">
        <v>160</v>
      </c>
      <c r="L104" s="25">
        <v>799</v>
      </c>
      <c r="M104" s="25">
        <v>160</v>
      </c>
      <c r="N104" s="25">
        <v>799</v>
      </c>
      <c r="O104" s="25">
        <v>160</v>
      </c>
      <c r="P104" s="25">
        <v>799</v>
      </c>
      <c r="Q104" s="25">
        <v>160</v>
      </c>
      <c r="R104" s="26">
        <f>IFERROR((Table4[[#This Row],[30.04.2025 Individus]]-Table4[[#This Row],[31.03.2025 Individus]])/Table4[[#This Row],[31.03.2025 Individus]],0)</f>
        <v>0</v>
      </c>
      <c r="S104" s="25">
        <f>Table4[[#This Row],[30.04.2025 Individus]]-Table4[[#This Row],[31.03.2025 Individus]]</f>
        <v>0</v>
      </c>
      <c r="T104" s="25" t="str">
        <f>IF(Table4[[#This Row],[Différence]]&lt;0,"Retournés","Déplacés")</f>
        <v>Déplacés</v>
      </c>
      <c r="U104" s="25" t="s">
        <v>591</v>
      </c>
      <c r="V104" s="25" t="str">
        <f>IF(Table4[[#This Row],[Evolution]]=0,"Non","Oui")</f>
        <v>Non</v>
      </c>
      <c r="W104" s="25" t="s">
        <v>725</v>
      </c>
      <c r="X104" s="42" t="s">
        <v>197</v>
      </c>
    </row>
    <row r="105" spans="1:24" s="9" customFormat="1" x14ac:dyDescent="0.3">
      <c r="A105" s="47">
        <v>100</v>
      </c>
      <c r="B105" s="25" t="s">
        <v>76</v>
      </c>
      <c r="C105" s="25" t="s">
        <v>75</v>
      </c>
      <c r="D105" s="25" t="s">
        <v>78</v>
      </c>
      <c r="E105" s="25" t="s">
        <v>77</v>
      </c>
      <c r="F105" s="25" t="s">
        <v>504</v>
      </c>
      <c r="G105" s="25" t="s">
        <v>349</v>
      </c>
      <c r="H105" s="25">
        <v>2775</v>
      </c>
      <c r="I105" s="25">
        <v>552</v>
      </c>
      <c r="J105" s="25">
        <v>2450</v>
      </c>
      <c r="K105" s="25">
        <v>486</v>
      </c>
      <c r="L105" s="25">
        <v>2450</v>
      </c>
      <c r="M105" s="25">
        <v>486</v>
      </c>
      <c r="N105" s="25">
        <v>2450</v>
      </c>
      <c r="O105" s="25">
        <v>486</v>
      </c>
      <c r="P105" s="25">
        <v>2450</v>
      </c>
      <c r="Q105" s="25">
        <v>486</v>
      </c>
      <c r="R105" s="26">
        <f>IFERROR((Table4[[#This Row],[30.04.2025 Individus]]-Table4[[#This Row],[31.03.2025 Individus]])/Table4[[#This Row],[31.03.2025 Individus]],0)</f>
        <v>0</v>
      </c>
      <c r="S105" s="25">
        <f>Table4[[#This Row],[30.04.2025 Individus]]-Table4[[#This Row],[31.03.2025 Individus]]</f>
        <v>0</v>
      </c>
      <c r="T105" s="25" t="str">
        <f>IF(Table4[[#This Row],[Différence]]&lt;0,"Retournés","Déplacés")</f>
        <v>Déplacés</v>
      </c>
      <c r="U105" s="25" t="s">
        <v>591</v>
      </c>
      <c r="V105" s="25" t="str">
        <f>IF(Table4[[#This Row],[Evolution]]=0,"Non","Oui")</f>
        <v>Non</v>
      </c>
      <c r="W105" s="25" t="s">
        <v>725</v>
      </c>
      <c r="X105" s="42" t="s">
        <v>197</v>
      </c>
    </row>
    <row r="106" spans="1:24" s="9" customFormat="1" x14ac:dyDescent="0.3">
      <c r="A106" s="47">
        <v>101</v>
      </c>
      <c r="B106" s="25" t="s">
        <v>76</v>
      </c>
      <c r="C106" s="25" t="s">
        <v>75</v>
      </c>
      <c r="D106" s="25" t="s">
        <v>431</v>
      </c>
      <c r="E106" s="25" t="s">
        <v>282</v>
      </c>
      <c r="F106" s="25" t="s">
        <v>505</v>
      </c>
      <c r="G106" s="25" t="s">
        <v>350</v>
      </c>
      <c r="H106" s="25">
        <v>2553</v>
      </c>
      <c r="I106" s="25">
        <v>506</v>
      </c>
      <c r="J106" s="25">
        <v>2261</v>
      </c>
      <c r="K106" s="25">
        <v>448</v>
      </c>
      <c r="L106" s="25">
        <v>2261</v>
      </c>
      <c r="M106" s="25">
        <v>448</v>
      </c>
      <c r="N106" s="25">
        <v>2261</v>
      </c>
      <c r="O106" s="25">
        <v>448</v>
      </c>
      <c r="P106" s="25">
        <v>2261</v>
      </c>
      <c r="Q106" s="25">
        <v>448</v>
      </c>
      <c r="R106" s="26">
        <f>IFERROR((Table4[[#This Row],[30.04.2025 Individus]]-Table4[[#This Row],[31.03.2025 Individus]])/Table4[[#This Row],[31.03.2025 Individus]],0)</f>
        <v>0</v>
      </c>
      <c r="S106" s="25">
        <f>Table4[[#This Row],[30.04.2025 Individus]]-Table4[[#This Row],[31.03.2025 Individus]]</f>
        <v>0</v>
      </c>
      <c r="T106" s="25" t="str">
        <f>IF(Table4[[#This Row],[Différence]]&lt;0,"Retournés","Déplacés")</f>
        <v>Déplacés</v>
      </c>
      <c r="U106" s="25" t="s">
        <v>591</v>
      </c>
      <c r="V106" s="25" t="str">
        <f>IF(Table4[[#This Row],[Evolution]]=0,"Non","Oui")</f>
        <v>Non</v>
      </c>
      <c r="W106" s="25" t="s">
        <v>725</v>
      </c>
      <c r="X106" s="42" t="s">
        <v>197</v>
      </c>
    </row>
    <row r="107" spans="1:24" s="9" customFormat="1" x14ac:dyDescent="0.3">
      <c r="A107" s="47">
        <v>102</v>
      </c>
      <c r="B107" s="25" t="s">
        <v>401</v>
      </c>
      <c r="C107" s="25" t="s">
        <v>249</v>
      </c>
      <c r="D107" s="25" t="s">
        <v>433</v>
      </c>
      <c r="E107" s="25" t="s">
        <v>284</v>
      </c>
      <c r="F107" s="25" t="s">
        <v>687</v>
      </c>
      <c r="G107" s="25" t="s">
        <v>284</v>
      </c>
      <c r="H107" s="25">
        <v>0</v>
      </c>
      <c r="I107" s="25">
        <v>0</v>
      </c>
      <c r="J107" s="25">
        <v>5383</v>
      </c>
      <c r="K107" s="25">
        <v>1063</v>
      </c>
      <c r="L107" s="25">
        <v>5383</v>
      </c>
      <c r="M107" s="25">
        <v>1063</v>
      </c>
      <c r="N107" s="25">
        <v>4050</v>
      </c>
      <c r="O107" s="25">
        <v>673</v>
      </c>
      <c r="P107" s="25">
        <v>4050</v>
      </c>
      <c r="Q107" s="25">
        <v>673</v>
      </c>
      <c r="R107" s="26">
        <f>IFERROR((Table4[[#This Row],[30.04.2025 Individus]]-Table4[[#This Row],[31.03.2025 Individus]])/Table4[[#This Row],[31.03.2025 Individus]],0)</f>
        <v>0</v>
      </c>
      <c r="S107" s="25">
        <f>Table4[[#This Row],[30.04.2025 Individus]]-Table4[[#This Row],[31.03.2025 Individus]]</f>
        <v>0</v>
      </c>
      <c r="T107" s="25" t="str">
        <f>IF(Table4[[#This Row],[Différence]]&lt;0,"Retournés","Déplacés")</f>
        <v>Déplacés</v>
      </c>
      <c r="U107" s="25" t="s">
        <v>761</v>
      </c>
      <c r="V107" s="25" t="str">
        <f>IF(Table4[[#This Row],[Evolution]]=0,"Non","Oui")</f>
        <v>Non</v>
      </c>
      <c r="W107" s="42" t="s">
        <v>795</v>
      </c>
      <c r="X107" s="42" t="s">
        <v>794</v>
      </c>
    </row>
    <row r="108" spans="1:24" s="9" customFormat="1" x14ac:dyDescent="0.3">
      <c r="A108" s="47">
        <v>103</v>
      </c>
      <c r="B108" s="25" t="s">
        <v>401</v>
      </c>
      <c r="C108" s="25" t="s">
        <v>249</v>
      </c>
      <c r="D108" s="25" t="s">
        <v>433</v>
      </c>
      <c r="E108" s="25" t="s">
        <v>284</v>
      </c>
      <c r="F108" s="25" t="s">
        <v>516</v>
      </c>
      <c r="G108" s="25" t="s">
        <v>359</v>
      </c>
      <c r="H108" s="25">
        <v>705</v>
      </c>
      <c r="I108" s="25">
        <v>141</v>
      </c>
      <c r="J108" s="25">
        <v>766</v>
      </c>
      <c r="K108" s="25">
        <v>151</v>
      </c>
      <c r="L108" s="25">
        <v>766</v>
      </c>
      <c r="M108" s="25">
        <v>151</v>
      </c>
      <c r="N108" s="25">
        <v>766</v>
      </c>
      <c r="O108" s="25">
        <v>151</v>
      </c>
      <c r="P108" s="25">
        <v>766</v>
      </c>
      <c r="Q108" s="25">
        <v>151</v>
      </c>
      <c r="R108" s="26">
        <f>IFERROR((Table4[[#This Row],[30.04.2025 Individus]]-Table4[[#This Row],[31.03.2025 Individus]])/Table4[[#This Row],[31.03.2025 Individus]],0)</f>
        <v>0</v>
      </c>
      <c r="S108" s="25">
        <f>Table4[[#This Row],[30.04.2025 Individus]]-Table4[[#This Row],[31.03.2025 Individus]]</f>
        <v>0</v>
      </c>
      <c r="T108" s="25" t="str">
        <f>IF(Table4[[#This Row],[Différence]]&lt;0,"Retournés","Déplacés")</f>
        <v>Déplacés</v>
      </c>
      <c r="U108" s="25" t="s">
        <v>591</v>
      </c>
      <c r="V108" s="25" t="str">
        <f>IF(Table4[[#This Row],[Evolution]]=0,"Non","Oui")</f>
        <v>Non</v>
      </c>
      <c r="W108" s="25" t="s">
        <v>725</v>
      </c>
      <c r="X108" s="42" t="s">
        <v>197</v>
      </c>
    </row>
    <row r="109" spans="1:24" s="9" customFormat="1" x14ac:dyDescent="0.3">
      <c r="A109" s="47">
        <v>104</v>
      </c>
      <c r="B109" s="25" t="s">
        <v>401</v>
      </c>
      <c r="C109" s="25" t="s">
        <v>249</v>
      </c>
      <c r="D109" s="25" t="s">
        <v>433</v>
      </c>
      <c r="E109" s="25" t="s">
        <v>284</v>
      </c>
      <c r="F109" s="25" t="s">
        <v>517</v>
      </c>
      <c r="G109" s="25" t="s">
        <v>360</v>
      </c>
      <c r="H109" s="25">
        <v>6943</v>
      </c>
      <c r="I109" s="25">
        <v>1388</v>
      </c>
      <c r="J109" s="25">
        <v>1836</v>
      </c>
      <c r="K109" s="25">
        <v>363</v>
      </c>
      <c r="L109" s="25">
        <v>1836</v>
      </c>
      <c r="M109" s="25">
        <v>363</v>
      </c>
      <c r="N109" s="25">
        <v>1836</v>
      </c>
      <c r="O109" s="25">
        <v>363</v>
      </c>
      <c r="P109" s="25">
        <v>1836</v>
      </c>
      <c r="Q109" s="25">
        <v>363</v>
      </c>
      <c r="R109" s="26">
        <f>IFERROR((Table4[[#This Row],[30.04.2025 Individus]]-Table4[[#This Row],[31.03.2025 Individus]])/Table4[[#This Row],[31.03.2025 Individus]],0)</f>
        <v>0</v>
      </c>
      <c r="S109" s="25">
        <f>Table4[[#This Row],[30.04.2025 Individus]]-Table4[[#This Row],[31.03.2025 Individus]]</f>
        <v>0</v>
      </c>
      <c r="T109" s="25" t="str">
        <f>IF(Table4[[#This Row],[Différence]]&lt;0,"Retournés","Déplacés")</f>
        <v>Déplacés</v>
      </c>
      <c r="U109" s="25" t="s">
        <v>591</v>
      </c>
      <c r="V109" s="25" t="str">
        <f>IF(Table4[[#This Row],[Evolution]]=0,"Non","Oui")</f>
        <v>Non</v>
      </c>
      <c r="W109" s="25" t="s">
        <v>725</v>
      </c>
      <c r="X109" s="42" t="s">
        <v>197</v>
      </c>
    </row>
    <row r="110" spans="1:24" s="9" customFormat="1" x14ac:dyDescent="0.3">
      <c r="A110" s="47">
        <v>105</v>
      </c>
      <c r="B110" s="25" t="s">
        <v>401</v>
      </c>
      <c r="C110" s="25" t="s">
        <v>249</v>
      </c>
      <c r="D110" s="25" t="s">
        <v>433</v>
      </c>
      <c r="E110" s="25" t="s">
        <v>284</v>
      </c>
      <c r="F110" s="25" t="s">
        <v>702</v>
      </c>
      <c r="G110" s="25" t="s">
        <v>717</v>
      </c>
      <c r="H110" s="25">
        <v>0</v>
      </c>
      <c r="I110" s="25">
        <v>0</v>
      </c>
      <c r="J110" s="25">
        <v>34</v>
      </c>
      <c r="K110" s="25">
        <v>6</v>
      </c>
      <c r="L110" s="25">
        <v>34</v>
      </c>
      <c r="M110" s="25">
        <v>6</v>
      </c>
      <c r="N110" s="25">
        <v>34</v>
      </c>
      <c r="O110" s="25">
        <v>6</v>
      </c>
      <c r="P110" s="25">
        <v>34</v>
      </c>
      <c r="Q110" s="25">
        <v>6</v>
      </c>
      <c r="R110" s="26">
        <f>IFERROR((Table4[[#This Row],[30.04.2025 Individus]]-Table4[[#This Row],[31.03.2025 Individus]])/Table4[[#This Row],[31.03.2025 Individus]],0)</f>
        <v>0</v>
      </c>
      <c r="S110" s="25">
        <f>Table4[[#This Row],[30.04.2025 Individus]]-Table4[[#This Row],[31.03.2025 Individus]]</f>
        <v>0</v>
      </c>
      <c r="T110" s="25" t="str">
        <f>IF(Table4[[#This Row],[Différence]]&lt;0,"Retournés","Déplacés")</f>
        <v>Déplacés</v>
      </c>
      <c r="U110" s="25" t="s">
        <v>591</v>
      </c>
      <c r="V110" s="25" t="str">
        <f>IF(Table4[[#This Row],[Evolution]]=0,"Non","Oui")</f>
        <v>Non</v>
      </c>
      <c r="W110" s="25" t="s">
        <v>725</v>
      </c>
      <c r="X110" s="42" t="s">
        <v>197</v>
      </c>
    </row>
    <row r="111" spans="1:24" s="9" customFormat="1" x14ac:dyDescent="0.3">
      <c r="A111" s="47">
        <v>106</v>
      </c>
      <c r="B111" s="25" t="s">
        <v>401</v>
      </c>
      <c r="C111" s="25" t="s">
        <v>249</v>
      </c>
      <c r="D111" s="25" t="s">
        <v>433</v>
      </c>
      <c r="E111" s="25" t="s">
        <v>284</v>
      </c>
      <c r="F111" s="25" t="s">
        <v>515</v>
      </c>
      <c r="G111" s="25" t="s">
        <v>358</v>
      </c>
      <c r="H111" s="25">
        <v>1467</v>
      </c>
      <c r="I111" s="25">
        <v>293</v>
      </c>
      <c r="J111" s="25">
        <v>1615</v>
      </c>
      <c r="K111" s="25">
        <v>318</v>
      </c>
      <c r="L111" s="25">
        <v>1615</v>
      </c>
      <c r="M111" s="25">
        <v>318</v>
      </c>
      <c r="N111" s="25">
        <v>1615</v>
      </c>
      <c r="O111" s="25">
        <v>318</v>
      </c>
      <c r="P111" s="25">
        <v>1615</v>
      </c>
      <c r="Q111" s="25">
        <v>318</v>
      </c>
      <c r="R111" s="26">
        <f>IFERROR((Table4[[#This Row],[30.04.2025 Individus]]-Table4[[#This Row],[31.03.2025 Individus]])/Table4[[#This Row],[31.03.2025 Individus]],0)</f>
        <v>0</v>
      </c>
      <c r="S111" s="25">
        <f>Table4[[#This Row],[30.04.2025 Individus]]-Table4[[#This Row],[31.03.2025 Individus]]</f>
        <v>0</v>
      </c>
      <c r="T111" s="25" t="str">
        <f>IF(Table4[[#This Row],[Différence]]&lt;0,"Retournés","Déplacés")</f>
        <v>Déplacés</v>
      </c>
      <c r="U111" s="25" t="s">
        <v>591</v>
      </c>
      <c r="V111" s="25" t="str">
        <f>IF(Table4[[#This Row],[Evolution]]=0,"Non","Oui")</f>
        <v>Non</v>
      </c>
      <c r="W111" s="25" t="s">
        <v>725</v>
      </c>
      <c r="X111" s="42" t="s">
        <v>197</v>
      </c>
    </row>
    <row r="112" spans="1:24" s="9" customFormat="1" x14ac:dyDescent="0.3">
      <c r="A112" s="47">
        <v>107</v>
      </c>
      <c r="B112" s="25" t="s">
        <v>401</v>
      </c>
      <c r="C112" s="25" t="s">
        <v>249</v>
      </c>
      <c r="D112" s="25" t="s">
        <v>433</v>
      </c>
      <c r="E112" s="25" t="s">
        <v>284</v>
      </c>
      <c r="F112" s="25" t="s">
        <v>507</v>
      </c>
      <c r="G112" s="25" t="s">
        <v>351</v>
      </c>
      <c r="H112" s="25">
        <v>1372</v>
      </c>
      <c r="I112" s="25">
        <v>274</v>
      </c>
      <c r="J112" s="25">
        <v>1372</v>
      </c>
      <c r="K112" s="25">
        <v>274</v>
      </c>
      <c r="L112" s="25">
        <v>1372</v>
      </c>
      <c r="M112" s="25">
        <v>274</v>
      </c>
      <c r="N112" s="25">
        <v>1372</v>
      </c>
      <c r="O112" s="25">
        <v>274</v>
      </c>
      <c r="P112" s="25">
        <v>1372</v>
      </c>
      <c r="Q112" s="25">
        <v>274</v>
      </c>
      <c r="R112" s="26">
        <f>IFERROR((Table4[[#This Row],[30.04.2025 Individus]]-Table4[[#This Row],[31.03.2025 Individus]])/Table4[[#This Row],[31.03.2025 Individus]],0)</f>
        <v>0</v>
      </c>
      <c r="S112" s="25">
        <f>Table4[[#This Row],[30.04.2025 Individus]]-Table4[[#This Row],[31.03.2025 Individus]]</f>
        <v>0</v>
      </c>
      <c r="T112" s="25" t="str">
        <f>IF(Table4[[#This Row],[Différence]]&lt;0,"Retournés","Déplacés")</f>
        <v>Déplacés</v>
      </c>
      <c r="U112" s="25" t="s">
        <v>591</v>
      </c>
      <c r="V112" s="25" t="str">
        <f>IF(Table4[[#This Row],[Evolution]]=0,"Non","Oui")</f>
        <v>Non</v>
      </c>
      <c r="W112" s="25" t="s">
        <v>725</v>
      </c>
      <c r="X112" s="42" t="s">
        <v>197</v>
      </c>
    </row>
    <row r="113" spans="1:24" s="9" customFormat="1" x14ac:dyDescent="0.3">
      <c r="A113" s="47">
        <v>108</v>
      </c>
      <c r="B113" s="25" t="s">
        <v>401</v>
      </c>
      <c r="C113" s="25" t="s">
        <v>249</v>
      </c>
      <c r="D113" s="25" t="s">
        <v>433</v>
      </c>
      <c r="E113" s="25" t="s">
        <v>284</v>
      </c>
      <c r="F113" s="25" t="s">
        <v>514</v>
      </c>
      <c r="G113" s="25" t="s">
        <v>357</v>
      </c>
      <c r="H113" s="25">
        <v>927</v>
      </c>
      <c r="I113" s="25">
        <v>186</v>
      </c>
      <c r="J113" s="25">
        <v>1184</v>
      </c>
      <c r="K113" s="25">
        <v>235</v>
      </c>
      <c r="L113" s="25">
        <v>1184</v>
      </c>
      <c r="M113" s="25">
        <v>235</v>
      </c>
      <c r="N113" s="25">
        <v>1184</v>
      </c>
      <c r="O113" s="25">
        <v>235</v>
      </c>
      <c r="P113" s="25">
        <v>1184</v>
      </c>
      <c r="Q113" s="25">
        <v>235</v>
      </c>
      <c r="R113" s="26">
        <f>IFERROR((Table4[[#This Row],[30.04.2025 Individus]]-Table4[[#This Row],[31.03.2025 Individus]])/Table4[[#This Row],[31.03.2025 Individus]],0)</f>
        <v>0</v>
      </c>
      <c r="S113" s="25">
        <f>Table4[[#This Row],[30.04.2025 Individus]]-Table4[[#This Row],[31.03.2025 Individus]]</f>
        <v>0</v>
      </c>
      <c r="T113" s="25" t="str">
        <f>IF(Table4[[#This Row],[Différence]]&lt;0,"Retournés","Déplacés")</f>
        <v>Déplacés</v>
      </c>
      <c r="U113" s="25" t="s">
        <v>591</v>
      </c>
      <c r="V113" s="25" t="str">
        <f>IF(Table4[[#This Row],[Evolution]]=0,"Non","Oui")</f>
        <v>Non</v>
      </c>
      <c r="W113" s="25" t="s">
        <v>725</v>
      </c>
      <c r="X113" s="42" t="s">
        <v>197</v>
      </c>
    </row>
    <row r="114" spans="1:24" s="9" customFormat="1" x14ac:dyDescent="0.3">
      <c r="A114" s="47">
        <v>109</v>
      </c>
      <c r="B114" s="25" t="s">
        <v>401</v>
      </c>
      <c r="C114" s="25" t="s">
        <v>249</v>
      </c>
      <c r="D114" s="25" t="s">
        <v>435</v>
      </c>
      <c r="E114" s="25" t="s">
        <v>286</v>
      </c>
      <c r="F114" s="25" t="s">
        <v>513</v>
      </c>
      <c r="G114" s="25" t="s">
        <v>356</v>
      </c>
      <c r="H114" s="25">
        <v>1995</v>
      </c>
      <c r="I114" s="25">
        <v>396</v>
      </c>
      <c r="J114" s="25">
        <v>2369</v>
      </c>
      <c r="K114" s="25">
        <v>458</v>
      </c>
      <c r="L114" s="25">
        <v>2369</v>
      </c>
      <c r="M114" s="25">
        <v>458</v>
      </c>
      <c r="N114" s="25">
        <v>3609</v>
      </c>
      <c r="O114" s="25">
        <v>661</v>
      </c>
      <c r="P114" s="25">
        <v>3609</v>
      </c>
      <c r="Q114" s="25">
        <v>661</v>
      </c>
      <c r="R114" s="26">
        <f>IFERROR((Table4[[#This Row],[30.04.2025 Individus]]-Table4[[#This Row],[31.03.2025 Individus]])/Table4[[#This Row],[31.03.2025 Individus]],0)</f>
        <v>0</v>
      </c>
      <c r="S114" s="25">
        <f>Table4[[#This Row],[30.04.2025 Individus]]-Table4[[#This Row],[31.03.2025 Individus]]</f>
        <v>0</v>
      </c>
      <c r="T114" s="25" t="str">
        <f>IF(Table4[[#This Row],[Différence]]&lt;0,"Retournés","Déplacés")</f>
        <v>Déplacés</v>
      </c>
      <c r="U114" s="25" t="s">
        <v>761</v>
      </c>
      <c r="V114" s="25" t="str">
        <f>IF(Table4[[#This Row],[Evolution]]=0,"Non","Oui")</f>
        <v>Non</v>
      </c>
      <c r="W114" s="25" t="s">
        <v>787</v>
      </c>
      <c r="X114" s="42" t="s">
        <v>788</v>
      </c>
    </row>
    <row r="115" spans="1:24" s="9" customFormat="1" x14ac:dyDescent="0.3">
      <c r="A115" s="47">
        <v>110</v>
      </c>
      <c r="B115" s="25" t="s">
        <v>401</v>
      </c>
      <c r="C115" s="25" t="s">
        <v>249</v>
      </c>
      <c r="D115" s="25" t="s">
        <v>435</v>
      </c>
      <c r="E115" s="25" t="s">
        <v>286</v>
      </c>
      <c r="F115" s="25" t="s">
        <v>512</v>
      </c>
      <c r="G115" s="25" t="s">
        <v>355</v>
      </c>
      <c r="H115" s="25">
        <v>525</v>
      </c>
      <c r="I115" s="25">
        <v>105</v>
      </c>
      <c r="J115" s="25">
        <v>561</v>
      </c>
      <c r="K115" s="25">
        <v>111</v>
      </c>
      <c r="L115" s="25">
        <v>561</v>
      </c>
      <c r="M115" s="25">
        <v>111</v>
      </c>
      <c r="N115" s="25">
        <v>561</v>
      </c>
      <c r="O115" s="25">
        <v>111</v>
      </c>
      <c r="P115" s="25">
        <v>561</v>
      </c>
      <c r="Q115" s="25">
        <v>111</v>
      </c>
      <c r="R115" s="26">
        <f>IFERROR((Table4[[#This Row],[30.04.2025 Individus]]-Table4[[#This Row],[31.03.2025 Individus]])/Table4[[#This Row],[31.03.2025 Individus]],0)</f>
        <v>0</v>
      </c>
      <c r="S115" s="25">
        <f>Table4[[#This Row],[30.04.2025 Individus]]-Table4[[#This Row],[31.03.2025 Individus]]</f>
        <v>0</v>
      </c>
      <c r="T115" s="25" t="str">
        <f>IF(Table4[[#This Row],[Différence]]&lt;0,"Retournés","Déplacés")</f>
        <v>Déplacés</v>
      </c>
      <c r="U115" s="25" t="s">
        <v>591</v>
      </c>
      <c r="V115" s="25" t="str">
        <f>IF(Table4[[#This Row],[Evolution]]=0,"Non","Oui")</f>
        <v>Non</v>
      </c>
      <c r="W115" s="25" t="s">
        <v>725</v>
      </c>
      <c r="X115" s="42" t="s">
        <v>197</v>
      </c>
    </row>
    <row r="116" spans="1:24" s="9" customFormat="1" x14ac:dyDescent="0.3">
      <c r="A116" s="47">
        <v>111</v>
      </c>
      <c r="B116" s="25" t="s">
        <v>401</v>
      </c>
      <c r="C116" s="25" t="s">
        <v>249</v>
      </c>
      <c r="D116" s="25" t="s">
        <v>434</v>
      </c>
      <c r="E116" s="25" t="s">
        <v>285</v>
      </c>
      <c r="F116" s="25" t="s">
        <v>509</v>
      </c>
      <c r="G116" s="25" t="s">
        <v>285</v>
      </c>
      <c r="H116" s="25">
        <v>1463</v>
      </c>
      <c r="I116" s="25">
        <v>290</v>
      </c>
      <c r="J116" s="25">
        <v>1957</v>
      </c>
      <c r="K116" s="25">
        <v>384</v>
      </c>
      <c r="L116" s="25">
        <v>1957</v>
      </c>
      <c r="M116" s="25">
        <v>384</v>
      </c>
      <c r="N116" s="25">
        <v>1957</v>
      </c>
      <c r="O116" s="25">
        <v>384</v>
      </c>
      <c r="P116" s="25">
        <v>1957</v>
      </c>
      <c r="Q116" s="25">
        <v>384</v>
      </c>
      <c r="R116" s="26">
        <f>IFERROR((Table4[[#This Row],[30.04.2025 Individus]]-Table4[[#This Row],[31.03.2025 Individus]])/Table4[[#This Row],[31.03.2025 Individus]],0)</f>
        <v>0</v>
      </c>
      <c r="S116" s="25">
        <f>Table4[[#This Row],[30.04.2025 Individus]]-Table4[[#This Row],[31.03.2025 Individus]]</f>
        <v>0</v>
      </c>
      <c r="T116" s="25" t="str">
        <f>IF(Table4[[#This Row],[Différence]]&lt;0,"Retournés","Déplacés")</f>
        <v>Déplacés</v>
      </c>
      <c r="U116" s="25" t="s">
        <v>591</v>
      </c>
      <c r="V116" s="25" t="str">
        <f>IF(Table4[[#This Row],[Evolution]]=0,"Non","Oui")</f>
        <v>Non</v>
      </c>
      <c r="W116" s="25" t="s">
        <v>725</v>
      </c>
      <c r="X116" s="42" t="s">
        <v>197</v>
      </c>
    </row>
    <row r="117" spans="1:24" s="9" customFormat="1" x14ac:dyDescent="0.3">
      <c r="A117" s="47">
        <v>112</v>
      </c>
      <c r="B117" s="25" t="s">
        <v>401</v>
      </c>
      <c r="C117" s="25" t="s">
        <v>249</v>
      </c>
      <c r="D117" s="25" t="s">
        <v>434</v>
      </c>
      <c r="E117" s="25" t="s">
        <v>285</v>
      </c>
      <c r="F117" s="25" t="s">
        <v>689</v>
      </c>
      <c r="G117" s="25" t="s">
        <v>707</v>
      </c>
      <c r="H117" s="25">
        <v>0</v>
      </c>
      <c r="I117" s="25">
        <v>0</v>
      </c>
      <c r="J117" s="25">
        <v>0</v>
      </c>
      <c r="K117" s="25">
        <v>0</v>
      </c>
      <c r="L117" s="25">
        <v>0</v>
      </c>
      <c r="M117" s="25">
        <v>0</v>
      </c>
      <c r="N117" s="25">
        <v>0</v>
      </c>
      <c r="O117" s="25">
        <v>0</v>
      </c>
      <c r="P117" s="25">
        <v>0</v>
      </c>
      <c r="Q117" s="25">
        <v>0</v>
      </c>
      <c r="R117" s="26">
        <f>IFERROR((Table4[[#This Row],[30.04.2025 Individus]]-Table4[[#This Row],[31.03.2025 Individus]])/Table4[[#This Row],[31.03.2025 Individus]],0)</f>
        <v>0</v>
      </c>
      <c r="S117" s="25">
        <f>Table4[[#This Row],[30.04.2025 Individus]]-Table4[[#This Row],[31.03.2025 Individus]]</f>
        <v>0</v>
      </c>
      <c r="T117" s="25" t="str">
        <f>IF(Table4[[#This Row],[Différence]]&lt;0,"Retournés","Déplacés")</f>
        <v>Déplacés</v>
      </c>
      <c r="U117" s="25" t="s">
        <v>591</v>
      </c>
      <c r="V117" s="25" t="str">
        <f>IF(Table4[[#This Row],[Evolution]]=0,"Non","Oui")</f>
        <v>Non</v>
      </c>
      <c r="W117" s="25" t="s">
        <v>725</v>
      </c>
      <c r="X117" s="42" t="s">
        <v>197</v>
      </c>
    </row>
    <row r="118" spans="1:24" s="9" customFormat="1" x14ac:dyDescent="0.3">
      <c r="A118" s="47">
        <v>113</v>
      </c>
      <c r="B118" s="25" t="s">
        <v>401</v>
      </c>
      <c r="C118" s="25" t="s">
        <v>249</v>
      </c>
      <c r="D118" s="25" t="s">
        <v>434</v>
      </c>
      <c r="E118" s="25" t="s">
        <v>285</v>
      </c>
      <c r="F118" s="25" t="s">
        <v>508</v>
      </c>
      <c r="G118" s="25" t="s">
        <v>352</v>
      </c>
      <c r="H118" s="25">
        <v>223</v>
      </c>
      <c r="I118" s="25">
        <v>46</v>
      </c>
      <c r="J118" s="25">
        <v>265</v>
      </c>
      <c r="K118" s="25">
        <v>53</v>
      </c>
      <c r="L118" s="25">
        <v>265</v>
      </c>
      <c r="M118" s="25">
        <v>53</v>
      </c>
      <c r="N118" s="25">
        <v>265</v>
      </c>
      <c r="O118" s="25">
        <v>53</v>
      </c>
      <c r="P118" s="25">
        <v>265</v>
      </c>
      <c r="Q118" s="25">
        <v>53</v>
      </c>
      <c r="R118" s="26">
        <f>IFERROR((Table4[[#This Row],[30.04.2025 Individus]]-Table4[[#This Row],[31.03.2025 Individus]])/Table4[[#This Row],[31.03.2025 Individus]],0)</f>
        <v>0</v>
      </c>
      <c r="S118" s="25">
        <f>Table4[[#This Row],[30.04.2025 Individus]]-Table4[[#This Row],[31.03.2025 Individus]]</f>
        <v>0</v>
      </c>
      <c r="T118" s="25" t="str">
        <f>IF(Table4[[#This Row],[Différence]]&lt;0,"Retournés","Déplacés")</f>
        <v>Déplacés</v>
      </c>
      <c r="U118" s="25" t="s">
        <v>591</v>
      </c>
      <c r="V118" s="25" t="str">
        <f>IF(Table4[[#This Row],[Evolution]]=0,"Non","Oui")</f>
        <v>Non</v>
      </c>
      <c r="W118" s="25" t="s">
        <v>725</v>
      </c>
      <c r="X118" s="42" t="s">
        <v>197</v>
      </c>
    </row>
    <row r="119" spans="1:24" s="9" customFormat="1" x14ac:dyDescent="0.3">
      <c r="A119" s="47">
        <v>114</v>
      </c>
      <c r="B119" s="25" t="s">
        <v>401</v>
      </c>
      <c r="C119" s="25" t="s">
        <v>249</v>
      </c>
      <c r="D119" s="25" t="s">
        <v>434</v>
      </c>
      <c r="E119" s="25" t="s">
        <v>285</v>
      </c>
      <c r="F119" s="25" t="s">
        <v>510</v>
      </c>
      <c r="G119" s="25" t="s">
        <v>353</v>
      </c>
      <c r="H119" s="25">
        <v>233</v>
      </c>
      <c r="I119" s="25">
        <v>46</v>
      </c>
      <c r="J119" s="25">
        <v>233</v>
      </c>
      <c r="K119" s="25">
        <v>46</v>
      </c>
      <c r="L119" s="25">
        <v>233</v>
      </c>
      <c r="M119" s="25">
        <v>46</v>
      </c>
      <c r="N119" s="25">
        <v>233</v>
      </c>
      <c r="O119" s="25">
        <v>46</v>
      </c>
      <c r="P119" s="25">
        <v>233</v>
      </c>
      <c r="Q119" s="25">
        <v>46</v>
      </c>
      <c r="R119" s="26">
        <f>IFERROR((Table4[[#This Row],[30.04.2025 Individus]]-Table4[[#This Row],[31.03.2025 Individus]])/Table4[[#This Row],[31.03.2025 Individus]],0)</f>
        <v>0</v>
      </c>
      <c r="S119" s="25">
        <f>Table4[[#This Row],[30.04.2025 Individus]]-Table4[[#This Row],[31.03.2025 Individus]]</f>
        <v>0</v>
      </c>
      <c r="T119" s="25" t="str">
        <f>IF(Table4[[#This Row],[Différence]]&lt;0,"Retournés","Déplacés")</f>
        <v>Déplacés</v>
      </c>
      <c r="U119" s="25" t="s">
        <v>591</v>
      </c>
      <c r="V119" s="25" t="str">
        <f>IF(Table4[[#This Row],[Evolution]]=0,"Non","Oui")</f>
        <v>Non</v>
      </c>
      <c r="W119" s="25" t="s">
        <v>725</v>
      </c>
      <c r="X119" s="42" t="s">
        <v>197</v>
      </c>
    </row>
    <row r="120" spans="1:24" s="9" customFormat="1" x14ac:dyDescent="0.3">
      <c r="A120" s="47">
        <v>115</v>
      </c>
      <c r="B120" s="25" t="s">
        <v>401</v>
      </c>
      <c r="C120" s="25" t="s">
        <v>249</v>
      </c>
      <c r="D120" s="25" t="s">
        <v>434</v>
      </c>
      <c r="E120" s="25" t="s">
        <v>285</v>
      </c>
      <c r="F120" s="25" t="s">
        <v>511</v>
      </c>
      <c r="G120" s="25" t="s">
        <v>354</v>
      </c>
      <c r="H120" s="25">
        <v>910</v>
      </c>
      <c r="I120" s="25">
        <v>182</v>
      </c>
      <c r="J120" s="25">
        <v>988</v>
      </c>
      <c r="K120" s="25">
        <v>194</v>
      </c>
      <c r="L120" s="25">
        <v>988</v>
      </c>
      <c r="M120" s="25">
        <v>194</v>
      </c>
      <c r="N120" s="25">
        <v>988</v>
      </c>
      <c r="O120" s="25">
        <v>194</v>
      </c>
      <c r="P120" s="25">
        <v>988</v>
      </c>
      <c r="Q120" s="25">
        <v>194</v>
      </c>
      <c r="R120" s="26">
        <f>IFERROR((Table4[[#This Row],[30.04.2025 Individus]]-Table4[[#This Row],[31.03.2025 Individus]])/Table4[[#This Row],[31.03.2025 Individus]],0)</f>
        <v>0</v>
      </c>
      <c r="S120" s="25">
        <f>Table4[[#This Row],[30.04.2025 Individus]]-Table4[[#This Row],[31.03.2025 Individus]]</f>
        <v>0</v>
      </c>
      <c r="T120" s="25" t="str">
        <f>IF(Table4[[#This Row],[Différence]]&lt;0,"Retournés","Déplacés")</f>
        <v>Déplacés</v>
      </c>
      <c r="U120" s="25" t="s">
        <v>591</v>
      </c>
      <c r="V120" s="25" t="str">
        <f>IF(Table4[[#This Row],[Evolution]]=0,"Non","Oui")</f>
        <v>Non</v>
      </c>
      <c r="W120" s="25" t="s">
        <v>725</v>
      </c>
      <c r="X120" s="42" t="s">
        <v>197</v>
      </c>
    </row>
    <row r="121" spans="1:24" s="9" customFormat="1" x14ac:dyDescent="0.3">
      <c r="A121" s="47">
        <v>116</v>
      </c>
      <c r="B121" s="25" t="s">
        <v>401</v>
      </c>
      <c r="C121" s="25" t="s">
        <v>249</v>
      </c>
      <c r="D121" s="25" t="s">
        <v>432</v>
      </c>
      <c r="E121" s="25" t="s">
        <v>283</v>
      </c>
      <c r="F121" s="25" t="s">
        <v>506</v>
      </c>
      <c r="G121" s="25" t="s">
        <v>283</v>
      </c>
      <c r="H121" s="25">
        <v>1524</v>
      </c>
      <c r="I121" s="25">
        <v>307</v>
      </c>
      <c r="J121" s="25">
        <v>1620</v>
      </c>
      <c r="K121" s="25">
        <v>323</v>
      </c>
      <c r="L121" s="25">
        <v>1620</v>
      </c>
      <c r="M121" s="25">
        <v>323</v>
      </c>
      <c r="N121" s="25">
        <v>1620</v>
      </c>
      <c r="O121" s="25">
        <v>323</v>
      </c>
      <c r="P121" s="25">
        <v>1620</v>
      </c>
      <c r="Q121" s="25">
        <v>323</v>
      </c>
      <c r="R121" s="26">
        <f>IFERROR((Table4[[#This Row],[30.04.2025 Individus]]-Table4[[#This Row],[31.03.2025 Individus]])/Table4[[#This Row],[31.03.2025 Individus]],0)</f>
        <v>0</v>
      </c>
      <c r="S121" s="25">
        <f>Table4[[#This Row],[30.04.2025 Individus]]-Table4[[#This Row],[31.03.2025 Individus]]</f>
        <v>0</v>
      </c>
      <c r="T121" s="25" t="str">
        <f>IF(Table4[[#This Row],[Différence]]&lt;0,"Retournés","Déplacés")</f>
        <v>Déplacés</v>
      </c>
      <c r="U121" s="25" t="s">
        <v>591</v>
      </c>
      <c r="V121" s="25" t="str">
        <f>IF(Table4[[#This Row],[Evolution]]=0,"Non","Oui")</f>
        <v>Non</v>
      </c>
      <c r="W121" s="25" t="s">
        <v>725</v>
      </c>
      <c r="X121" s="42" t="s">
        <v>197</v>
      </c>
    </row>
    <row r="122" spans="1:24" s="9" customFormat="1" x14ac:dyDescent="0.3">
      <c r="A122" s="47">
        <v>117</v>
      </c>
      <c r="B122" s="25" t="s">
        <v>401</v>
      </c>
      <c r="C122" s="25" t="s">
        <v>249</v>
      </c>
      <c r="D122" s="25" t="s">
        <v>432</v>
      </c>
      <c r="E122" s="25" t="s">
        <v>283</v>
      </c>
      <c r="F122" s="25" t="s">
        <v>696</v>
      </c>
      <c r="G122" s="25" t="s">
        <v>713</v>
      </c>
      <c r="H122" s="25">
        <v>0</v>
      </c>
      <c r="I122" s="25">
        <v>0</v>
      </c>
      <c r="J122" s="25">
        <v>0</v>
      </c>
      <c r="K122" s="25">
        <v>0</v>
      </c>
      <c r="L122" s="25">
        <v>0</v>
      </c>
      <c r="M122" s="25">
        <v>0</v>
      </c>
      <c r="N122" s="25">
        <v>0</v>
      </c>
      <c r="O122" s="25">
        <v>0</v>
      </c>
      <c r="P122" s="25">
        <v>0</v>
      </c>
      <c r="Q122" s="25">
        <v>0</v>
      </c>
      <c r="R122" s="26">
        <f>IFERROR((Table4[[#This Row],[30.04.2025 Individus]]-Table4[[#This Row],[31.03.2025 Individus]])/Table4[[#This Row],[31.03.2025 Individus]],0)</f>
        <v>0</v>
      </c>
      <c r="S122" s="25">
        <f>Table4[[#This Row],[30.04.2025 Individus]]-Table4[[#This Row],[31.03.2025 Individus]]</f>
        <v>0</v>
      </c>
      <c r="T122" s="25" t="str">
        <f>IF(Table4[[#This Row],[Différence]]&lt;0,"Retournés","Déplacés")</f>
        <v>Déplacés</v>
      </c>
      <c r="U122" s="25" t="s">
        <v>591</v>
      </c>
      <c r="V122" s="25" t="str">
        <f>IF(Table4[[#This Row],[Evolution]]=0,"Non","Oui")</f>
        <v>Non</v>
      </c>
      <c r="W122" s="25" t="s">
        <v>725</v>
      </c>
      <c r="X122" s="42" t="s">
        <v>197</v>
      </c>
    </row>
    <row r="123" spans="1:24" s="9" customFormat="1" x14ac:dyDescent="0.3">
      <c r="A123" s="47">
        <v>118</v>
      </c>
      <c r="B123" s="25" t="s">
        <v>97</v>
      </c>
      <c r="C123" s="25" t="s">
        <v>96</v>
      </c>
      <c r="D123" s="25" t="s">
        <v>439</v>
      </c>
      <c r="E123" s="25" t="s">
        <v>290</v>
      </c>
      <c r="F123" s="25" t="s">
        <v>522</v>
      </c>
      <c r="G123" s="25" t="s">
        <v>290</v>
      </c>
      <c r="H123" s="25">
        <v>3589</v>
      </c>
      <c r="I123" s="25">
        <v>730</v>
      </c>
      <c r="J123" s="25">
        <v>3589</v>
      </c>
      <c r="K123" s="25">
        <v>730</v>
      </c>
      <c r="L123" s="25">
        <v>3589</v>
      </c>
      <c r="M123" s="25">
        <v>730</v>
      </c>
      <c r="N123" s="25">
        <v>3589</v>
      </c>
      <c r="O123" s="25">
        <v>730</v>
      </c>
      <c r="P123" s="25">
        <v>3589</v>
      </c>
      <c r="Q123" s="25">
        <v>730</v>
      </c>
      <c r="R123" s="26">
        <f>IFERROR((Table4[[#This Row],[30.04.2025 Individus]]-Table4[[#This Row],[31.03.2025 Individus]])/Table4[[#This Row],[31.03.2025 Individus]],0)</f>
        <v>0</v>
      </c>
      <c r="S123" s="25">
        <f>Table4[[#This Row],[30.04.2025 Individus]]-Table4[[#This Row],[31.03.2025 Individus]]</f>
        <v>0</v>
      </c>
      <c r="T123" s="25" t="str">
        <f>IF(Table4[[#This Row],[Différence]]&lt;0,"Retournés","Déplacés")</f>
        <v>Déplacés</v>
      </c>
      <c r="U123" s="25" t="s">
        <v>591</v>
      </c>
      <c r="V123" s="25" t="str">
        <f>IF(Table4[[#This Row],[Evolution]]=0,"Non","Oui")</f>
        <v>Non</v>
      </c>
      <c r="W123" s="25" t="s">
        <v>725</v>
      </c>
      <c r="X123" s="42" t="s">
        <v>197</v>
      </c>
    </row>
    <row r="124" spans="1:24" s="9" customFormat="1" x14ac:dyDescent="0.3">
      <c r="A124" s="47">
        <v>119</v>
      </c>
      <c r="B124" s="25" t="s">
        <v>97</v>
      </c>
      <c r="C124" s="25" t="s">
        <v>96</v>
      </c>
      <c r="D124" s="25" t="s">
        <v>437</v>
      </c>
      <c r="E124" s="25" t="s">
        <v>288</v>
      </c>
      <c r="F124" s="25" t="s">
        <v>519</v>
      </c>
      <c r="G124" s="25" t="s">
        <v>288</v>
      </c>
      <c r="H124" s="25">
        <v>3385</v>
      </c>
      <c r="I124" s="25">
        <v>676</v>
      </c>
      <c r="J124" s="25">
        <v>3385</v>
      </c>
      <c r="K124" s="25">
        <v>676</v>
      </c>
      <c r="L124" s="25">
        <v>3385</v>
      </c>
      <c r="M124" s="25">
        <v>676</v>
      </c>
      <c r="N124" s="25">
        <v>3385</v>
      </c>
      <c r="O124" s="25">
        <v>676</v>
      </c>
      <c r="P124" s="25">
        <v>3385</v>
      </c>
      <c r="Q124" s="25">
        <v>676</v>
      </c>
      <c r="R124" s="26">
        <f>IFERROR((Table4[[#This Row],[30.04.2025 Individus]]-Table4[[#This Row],[31.03.2025 Individus]])/Table4[[#This Row],[31.03.2025 Individus]],0)</f>
        <v>0</v>
      </c>
      <c r="S124" s="25">
        <f>Table4[[#This Row],[30.04.2025 Individus]]-Table4[[#This Row],[31.03.2025 Individus]]</f>
        <v>0</v>
      </c>
      <c r="T124" s="25" t="str">
        <f>IF(Table4[[#This Row],[Différence]]&lt;0,"Retournés","Déplacés")</f>
        <v>Déplacés</v>
      </c>
      <c r="U124" s="25" t="s">
        <v>591</v>
      </c>
      <c r="V124" s="25" t="str">
        <f>IF(Table4[[#This Row],[Evolution]]=0,"Non","Oui")</f>
        <v>Non</v>
      </c>
      <c r="W124" s="25" t="s">
        <v>725</v>
      </c>
      <c r="X124" s="42" t="s">
        <v>197</v>
      </c>
    </row>
    <row r="125" spans="1:24" s="9" customFormat="1" x14ac:dyDescent="0.3">
      <c r="A125" s="47">
        <v>120</v>
      </c>
      <c r="B125" s="25" t="s">
        <v>399</v>
      </c>
      <c r="C125" s="25" t="s">
        <v>96</v>
      </c>
      <c r="D125" s="25" t="s">
        <v>436</v>
      </c>
      <c r="E125" s="25" t="s">
        <v>287</v>
      </c>
      <c r="F125" s="25" t="s">
        <v>518</v>
      </c>
      <c r="G125" s="25" t="s">
        <v>287</v>
      </c>
      <c r="H125" s="25">
        <v>1198</v>
      </c>
      <c r="I125" s="25">
        <v>243</v>
      </c>
      <c r="J125" s="25">
        <v>1198</v>
      </c>
      <c r="K125" s="25">
        <v>243</v>
      </c>
      <c r="L125" s="25">
        <v>1198</v>
      </c>
      <c r="M125" s="25">
        <v>243</v>
      </c>
      <c r="N125" s="25">
        <v>1198</v>
      </c>
      <c r="O125" s="25">
        <v>243</v>
      </c>
      <c r="P125" s="25">
        <v>1198</v>
      </c>
      <c r="Q125" s="25">
        <v>243</v>
      </c>
      <c r="R125" s="26">
        <f>IFERROR((Table4[[#This Row],[30.04.2025 Individus]]-Table4[[#This Row],[31.03.2025 Individus]])/Table4[[#This Row],[31.03.2025 Individus]],0)</f>
        <v>0</v>
      </c>
      <c r="S125" s="25">
        <f>Table4[[#This Row],[30.04.2025 Individus]]-Table4[[#This Row],[31.03.2025 Individus]]</f>
        <v>0</v>
      </c>
      <c r="T125" s="25" t="str">
        <f>IF(Table4[[#This Row],[Différence]]&lt;0,"Retournés","Déplacés")</f>
        <v>Déplacés</v>
      </c>
      <c r="U125" s="25" t="s">
        <v>591</v>
      </c>
      <c r="V125" s="25" t="str">
        <f>IF(Table4[[#This Row],[Evolution]]=0,"Non","Oui")</f>
        <v>Non</v>
      </c>
      <c r="W125" s="25" t="s">
        <v>725</v>
      </c>
      <c r="X125" s="42" t="s">
        <v>197</v>
      </c>
    </row>
    <row r="126" spans="1:24" s="9" customFormat="1" x14ac:dyDescent="0.3">
      <c r="A126" s="47">
        <v>121</v>
      </c>
      <c r="B126" s="25" t="s">
        <v>97</v>
      </c>
      <c r="C126" s="25" t="s">
        <v>96</v>
      </c>
      <c r="D126" s="25" t="s">
        <v>438</v>
      </c>
      <c r="E126" s="25" t="s">
        <v>289</v>
      </c>
      <c r="F126" s="25" t="s">
        <v>521</v>
      </c>
      <c r="G126" s="25" t="s">
        <v>289</v>
      </c>
      <c r="H126" s="25">
        <v>2197</v>
      </c>
      <c r="I126" s="25">
        <v>439</v>
      </c>
      <c r="J126" s="25">
        <v>2197</v>
      </c>
      <c r="K126" s="25">
        <v>439</v>
      </c>
      <c r="L126" s="25">
        <v>2197</v>
      </c>
      <c r="M126" s="25">
        <v>439</v>
      </c>
      <c r="N126" s="25">
        <f>2197+380</f>
        <v>2577</v>
      </c>
      <c r="O126" s="25">
        <f>439+76</f>
        <v>515</v>
      </c>
      <c r="P126" s="25">
        <f>2197+380</f>
        <v>2577</v>
      </c>
      <c r="Q126" s="25">
        <f>439+76</f>
        <v>515</v>
      </c>
      <c r="R126" s="26">
        <f>IFERROR((Table4[[#This Row],[30.04.2025 Individus]]-Table4[[#This Row],[31.03.2025 Individus]])/Table4[[#This Row],[31.03.2025 Individus]],0)</f>
        <v>0</v>
      </c>
      <c r="S126" s="25">
        <f>Table4[[#This Row],[30.04.2025 Individus]]-Table4[[#This Row],[31.03.2025 Individus]]</f>
        <v>0</v>
      </c>
      <c r="T126" s="25" t="str">
        <f>IF(Table4[[#This Row],[Différence]]&lt;0,"Retournés","Déplacés")</f>
        <v>Déplacés</v>
      </c>
      <c r="U126" s="25" t="s">
        <v>761</v>
      </c>
      <c r="V126" s="25" t="str">
        <f>IF(Table4[[#This Row],[Evolution]]=0,"Non","Oui")</f>
        <v>Non</v>
      </c>
      <c r="W126" s="25" t="s">
        <v>786</v>
      </c>
      <c r="X126" s="42" t="s">
        <v>785</v>
      </c>
    </row>
    <row r="127" spans="1:24" s="9" customFormat="1" x14ac:dyDescent="0.3">
      <c r="A127" s="47">
        <v>122</v>
      </c>
      <c r="B127" s="25" t="s">
        <v>97</v>
      </c>
      <c r="C127" s="25" t="s">
        <v>96</v>
      </c>
      <c r="D127" s="25" t="s">
        <v>438</v>
      </c>
      <c r="E127" s="25" t="s">
        <v>289</v>
      </c>
      <c r="F127" s="25" t="s">
        <v>520</v>
      </c>
      <c r="G127" s="25" t="s">
        <v>361</v>
      </c>
      <c r="H127" s="25">
        <v>1175</v>
      </c>
      <c r="I127" s="25">
        <v>210</v>
      </c>
      <c r="J127" s="25">
        <v>1205</v>
      </c>
      <c r="K127" s="25">
        <v>215</v>
      </c>
      <c r="L127" s="25">
        <v>1205</v>
      </c>
      <c r="M127" s="25">
        <v>215</v>
      </c>
      <c r="N127" s="25">
        <f>870+825</f>
        <v>1695</v>
      </c>
      <c r="O127" s="25">
        <f>174+165</f>
        <v>339</v>
      </c>
      <c r="P127" s="25">
        <f>870+825</f>
        <v>1695</v>
      </c>
      <c r="Q127" s="25">
        <f>174+165</f>
        <v>339</v>
      </c>
      <c r="R127" s="26">
        <f>IFERROR((Table4[[#This Row],[30.04.2025 Individus]]-Table4[[#This Row],[31.03.2025 Individus]])/Table4[[#This Row],[31.03.2025 Individus]],0)</f>
        <v>0</v>
      </c>
      <c r="S127" s="25">
        <f>Table4[[#This Row],[30.04.2025 Individus]]-Table4[[#This Row],[31.03.2025 Individus]]</f>
        <v>0</v>
      </c>
      <c r="T127" s="25" t="str">
        <f>IF(Table4[[#This Row],[Différence]]&lt;0,"Retournés","Déplacés")</f>
        <v>Déplacés</v>
      </c>
      <c r="U127" s="25" t="s">
        <v>761</v>
      </c>
      <c r="V127" s="25" t="str">
        <f>IF(Table4[[#This Row],[Evolution]]=0,"Non","Oui")</f>
        <v>Non</v>
      </c>
      <c r="W127" s="25" t="s">
        <v>783</v>
      </c>
      <c r="X127" s="42" t="s">
        <v>784</v>
      </c>
    </row>
    <row r="128" spans="1:24" s="9" customFormat="1" x14ac:dyDescent="0.3">
      <c r="A128" s="47">
        <v>123</v>
      </c>
      <c r="B128" s="25" t="s">
        <v>97</v>
      </c>
      <c r="C128" s="25" t="s">
        <v>96</v>
      </c>
      <c r="D128" s="25" t="s">
        <v>440</v>
      </c>
      <c r="E128" s="25" t="s">
        <v>291</v>
      </c>
      <c r="F128" s="25" t="s">
        <v>524</v>
      </c>
      <c r="G128" s="25" t="s">
        <v>291</v>
      </c>
      <c r="H128" s="25">
        <v>4400</v>
      </c>
      <c r="I128" s="25">
        <v>880</v>
      </c>
      <c r="J128" s="25">
        <f>4400+156</f>
        <v>4556</v>
      </c>
      <c r="K128" s="25">
        <f>880+46</f>
        <v>926</v>
      </c>
      <c r="L128" s="25">
        <f>4400+156</f>
        <v>4556</v>
      </c>
      <c r="M128" s="25">
        <f>880+46</f>
        <v>926</v>
      </c>
      <c r="N128" s="25">
        <f>4400+1650</f>
        <v>6050</v>
      </c>
      <c r="O128" s="25">
        <f>Table4[[#This Row],[28.02.2025 Ménages]]+330</f>
        <v>1256</v>
      </c>
      <c r="P128" s="25">
        <f>4400+1650</f>
        <v>6050</v>
      </c>
      <c r="Q128" s="25">
        <f>Table4[[#This Row],[28.02.2025 Ménages]]+330</f>
        <v>1256</v>
      </c>
      <c r="R128" s="26">
        <f>IFERROR((Table4[[#This Row],[30.04.2025 Individus]]-Table4[[#This Row],[31.03.2025 Individus]])/Table4[[#This Row],[31.03.2025 Individus]],0)</f>
        <v>0</v>
      </c>
      <c r="S128" s="25">
        <f>Table4[[#This Row],[30.04.2025 Individus]]-Table4[[#This Row],[31.03.2025 Individus]]</f>
        <v>0</v>
      </c>
      <c r="T128" s="25" t="str">
        <f>IF(Table4[[#This Row],[Différence]]&lt;0,"Retournés","Déplacés")</f>
        <v>Déplacés</v>
      </c>
      <c r="U128" s="25" t="s">
        <v>761</v>
      </c>
      <c r="V128" s="25" t="str">
        <f>IF(Table4[[#This Row],[Evolution]]=0,"Non","Oui")</f>
        <v>Non</v>
      </c>
      <c r="W128" s="25" t="s">
        <v>781</v>
      </c>
      <c r="X128" s="42" t="s">
        <v>782</v>
      </c>
    </row>
    <row r="129" spans="1:24" s="9" customFormat="1" x14ac:dyDescent="0.3">
      <c r="A129" s="47">
        <v>124</v>
      </c>
      <c r="B129" s="25" t="s">
        <v>97</v>
      </c>
      <c r="C129" s="25" t="s">
        <v>96</v>
      </c>
      <c r="D129" s="25" t="s">
        <v>440</v>
      </c>
      <c r="E129" s="25" t="s">
        <v>291</v>
      </c>
      <c r="F129" s="25" t="s">
        <v>523</v>
      </c>
      <c r="G129" s="25" t="s">
        <v>362</v>
      </c>
      <c r="H129" s="25">
        <v>2875</v>
      </c>
      <c r="I129" s="25">
        <v>552</v>
      </c>
      <c r="J129" s="25">
        <f>2125+750</f>
        <v>2875</v>
      </c>
      <c r="K129" s="25">
        <f>427+125</f>
        <v>552</v>
      </c>
      <c r="L129" s="25">
        <f>2125+750</f>
        <v>2875</v>
      </c>
      <c r="M129" s="25">
        <f>427+125</f>
        <v>552</v>
      </c>
      <c r="N129" s="25">
        <f>2125+750</f>
        <v>2875</v>
      </c>
      <c r="O129" s="25">
        <f>427+125</f>
        <v>552</v>
      </c>
      <c r="P129" s="25">
        <f>2125+750</f>
        <v>2875</v>
      </c>
      <c r="Q129" s="25">
        <f>427+125</f>
        <v>552</v>
      </c>
      <c r="R129" s="26">
        <f>IFERROR((Table4[[#This Row],[30.04.2025 Individus]]-Table4[[#This Row],[31.03.2025 Individus]])/Table4[[#This Row],[31.03.2025 Individus]],0)</f>
        <v>0</v>
      </c>
      <c r="S129" s="25">
        <f>Table4[[#This Row],[30.04.2025 Individus]]-Table4[[#This Row],[31.03.2025 Individus]]</f>
        <v>0</v>
      </c>
      <c r="T129" s="25" t="str">
        <f>IF(Table4[[#This Row],[Différence]]&lt;0,"Retournés","Déplacés")</f>
        <v>Déplacés</v>
      </c>
      <c r="U129" s="25" t="s">
        <v>591</v>
      </c>
      <c r="V129" s="25" t="str">
        <f>IF(Table4[[#This Row],[Evolution]]=0,"Non","Oui")</f>
        <v>Non</v>
      </c>
      <c r="W129" s="25" t="s">
        <v>732</v>
      </c>
      <c r="X129" s="42" t="s">
        <v>197</v>
      </c>
    </row>
    <row r="130" spans="1:24" s="9" customFormat="1" x14ac:dyDescent="0.3">
      <c r="A130" s="47">
        <v>125</v>
      </c>
      <c r="B130" s="25" t="s">
        <v>104</v>
      </c>
      <c r="C130" s="25" t="s">
        <v>103</v>
      </c>
      <c r="D130" s="25" t="s">
        <v>109</v>
      </c>
      <c r="E130" s="25" t="s">
        <v>108</v>
      </c>
      <c r="F130" s="25" t="s">
        <v>110</v>
      </c>
      <c r="G130" s="25" t="s">
        <v>108</v>
      </c>
      <c r="H130" s="25">
        <v>3351</v>
      </c>
      <c r="I130" s="25">
        <v>682</v>
      </c>
      <c r="J130" s="25">
        <v>3351</v>
      </c>
      <c r="K130" s="25">
        <v>682</v>
      </c>
      <c r="L130" s="25">
        <v>4843</v>
      </c>
      <c r="M130" s="25">
        <v>1035</v>
      </c>
      <c r="N130" s="25">
        <v>4843</v>
      </c>
      <c r="O130" s="25">
        <v>1035</v>
      </c>
      <c r="P130" s="25">
        <v>4843</v>
      </c>
      <c r="Q130" s="25">
        <v>1035</v>
      </c>
      <c r="R130" s="26">
        <f>IFERROR((Table4[[#This Row],[30.04.2025 Individus]]-Table4[[#This Row],[31.03.2025 Individus]])/Table4[[#This Row],[31.03.2025 Individus]],0)</f>
        <v>0</v>
      </c>
      <c r="S130" s="25">
        <f>Table4[[#This Row],[30.04.2025 Individus]]-Table4[[#This Row],[31.03.2025 Individus]]</f>
        <v>0</v>
      </c>
      <c r="T130" s="25" t="str">
        <f>IF(Table4[[#This Row],[Différence]]&lt;0,"Retournés","Déplacés")</f>
        <v>Déplacés</v>
      </c>
      <c r="U130" s="25" t="s">
        <v>591</v>
      </c>
      <c r="V130" s="25" t="str">
        <f>IF(Table4[[#This Row],[Evolution]]=0,"Non","Oui")</f>
        <v>Non</v>
      </c>
      <c r="W130" s="25" t="s">
        <v>725</v>
      </c>
      <c r="X130" s="42" t="s">
        <v>197</v>
      </c>
    </row>
    <row r="131" spans="1:24" s="9" customFormat="1" x14ac:dyDescent="0.3">
      <c r="A131" s="47">
        <v>126</v>
      </c>
      <c r="B131" s="25" t="s">
        <v>104</v>
      </c>
      <c r="C131" s="25" t="s">
        <v>103</v>
      </c>
      <c r="D131" s="25" t="s">
        <v>109</v>
      </c>
      <c r="E131" s="25" t="s">
        <v>108</v>
      </c>
      <c r="F131" s="25" t="s">
        <v>116</v>
      </c>
      <c r="G131" s="25" t="s">
        <v>115</v>
      </c>
      <c r="H131" s="25">
        <v>6332</v>
      </c>
      <c r="I131" s="25">
        <v>1140</v>
      </c>
      <c r="J131" s="25">
        <v>6332</v>
      </c>
      <c r="K131" s="25">
        <v>1140</v>
      </c>
      <c r="L131" s="25">
        <v>6661</v>
      </c>
      <c r="M131" s="25">
        <v>1232</v>
      </c>
      <c r="N131" s="25">
        <v>6661</v>
      </c>
      <c r="O131" s="25">
        <v>1232</v>
      </c>
      <c r="P131" s="25">
        <v>6661</v>
      </c>
      <c r="Q131" s="25">
        <v>1232</v>
      </c>
      <c r="R131" s="26">
        <f>IFERROR((Table4[[#This Row],[30.04.2025 Individus]]-Table4[[#This Row],[31.03.2025 Individus]])/Table4[[#This Row],[31.03.2025 Individus]],0)</f>
        <v>0</v>
      </c>
      <c r="S131" s="25">
        <f>Table4[[#This Row],[30.04.2025 Individus]]-Table4[[#This Row],[31.03.2025 Individus]]</f>
        <v>0</v>
      </c>
      <c r="T131" s="25" t="str">
        <f>IF(Table4[[#This Row],[Différence]]&lt;0,"Retournés","Déplacés")</f>
        <v>Déplacés</v>
      </c>
      <c r="U131" s="25" t="s">
        <v>591</v>
      </c>
      <c r="V131" s="25" t="str">
        <f>IF(Table4[[#This Row],[Evolution]]=0,"Non","Oui")</f>
        <v>Non</v>
      </c>
      <c r="W131" s="25" t="s">
        <v>725</v>
      </c>
      <c r="X131" s="42" t="s">
        <v>197</v>
      </c>
    </row>
    <row r="132" spans="1:24" s="9" customFormat="1" x14ac:dyDescent="0.3">
      <c r="A132" s="47">
        <v>127</v>
      </c>
      <c r="B132" s="25" t="s">
        <v>104</v>
      </c>
      <c r="C132" s="25" t="s">
        <v>103</v>
      </c>
      <c r="D132" s="25" t="s">
        <v>109</v>
      </c>
      <c r="E132" s="25" t="s">
        <v>108</v>
      </c>
      <c r="F132" s="25" t="s">
        <v>121</v>
      </c>
      <c r="G132" s="25" t="s">
        <v>112</v>
      </c>
      <c r="H132" s="25">
        <v>3349</v>
      </c>
      <c r="I132" s="25">
        <v>646</v>
      </c>
      <c r="J132" s="25">
        <v>3349</v>
      </c>
      <c r="K132" s="25">
        <v>646</v>
      </c>
      <c r="L132" s="25">
        <v>3349</v>
      </c>
      <c r="M132" s="25">
        <v>646</v>
      </c>
      <c r="N132" s="25">
        <v>3349</v>
      </c>
      <c r="O132" s="25">
        <v>646</v>
      </c>
      <c r="P132" s="25">
        <v>3349</v>
      </c>
      <c r="Q132" s="25">
        <v>646</v>
      </c>
      <c r="R132" s="26">
        <f>IFERROR((Table4[[#This Row],[30.04.2025 Individus]]-Table4[[#This Row],[31.03.2025 Individus]])/Table4[[#This Row],[31.03.2025 Individus]],0)</f>
        <v>0</v>
      </c>
      <c r="S132" s="25">
        <f>Table4[[#This Row],[30.04.2025 Individus]]-Table4[[#This Row],[31.03.2025 Individus]]</f>
        <v>0</v>
      </c>
      <c r="T132" s="25" t="str">
        <f>IF(Table4[[#This Row],[Différence]]&lt;0,"Retournés","Déplacés")</f>
        <v>Déplacés</v>
      </c>
      <c r="U132" s="25" t="s">
        <v>591</v>
      </c>
      <c r="V132" s="25" t="str">
        <f>IF(Table4[[#This Row],[Evolution]]=0,"Non","Oui")</f>
        <v>Non</v>
      </c>
      <c r="W132" s="25" t="s">
        <v>725</v>
      </c>
      <c r="X132" s="42" t="s">
        <v>197</v>
      </c>
    </row>
    <row r="133" spans="1:24" s="9" customFormat="1" x14ac:dyDescent="0.3">
      <c r="A133" s="47">
        <v>128</v>
      </c>
      <c r="B133" s="25" t="s">
        <v>104</v>
      </c>
      <c r="C133" s="25" t="s">
        <v>103</v>
      </c>
      <c r="D133" s="25" t="s">
        <v>109</v>
      </c>
      <c r="E133" s="25" t="s">
        <v>108</v>
      </c>
      <c r="F133" s="25" t="s">
        <v>125</v>
      </c>
      <c r="G133" s="25" t="s">
        <v>124</v>
      </c>
      <c r="H133" s="25">
        <v>7436</v>
      </c>
      <c r="I133" s="25">
        <v>1564</v>
      </c>
      <c r="J133" s="25">
        <v>7436</v>
      </c>
      <c r="K133" s="25">
        <v>1564</v>
      </c>
      <c r="L133" s="25">
        <v>3083</v>
      </c>
      <c r="M133" s="25">
        <v>608</v>
      </c>
      <c r="N133" s="25">
        <v>3083</v>
      </c>
      <c r="O133" s="25">
        <v>608</v>
      </c>
      <c r="P133" s="25">
        <v>3083</v>
      </c>
      <c r="Q133" s="25">
        <v>608</v>
      </c>
      <c r="R133" s="26">
        <f>IFERROR((Table4[[#This Row],[30.04.2025 Individus]]-Table4[[#This Row],[31.03.2025 Individus]])/Table4[[#This Row],[31.03.2025 Individus]],0)</f>
        <v>0</v>
      </c>
      <c r="S133" s="25">
        <f>Table4[[#This Row],[30.04.2025 Individus]]-Table4[[#This Row],[31.03.2025 Individus]]</f>
        <v>0</v>
      </c>
      <c r="T133" s="25" t="str">
        <f>IF(Table4[[#This Row],[Différence]]&lt;0,"Retournés","Déplacés")</f>
        <v>Déplacés</v>
      </c>
      <c r="U133" s="25" t="s">
        <v>591</v>
      </c>
      <c r="V133" s="25" t="str">
        <f>IF(Table4[[#This Row],[Evolution]]=0,"Non","Oui")</f>
        <v>Non</v>
      </c>
      <c r="W133" s="25" t="s">
        <v>725</v>
      </c>
      <c r="X133" s="42" t="s">
        <v>197</v>
      </c>
    </row>
    <row r="134" spans="1:24" s="9" customFormat="1" x14ac:dyDescent="0.3">
      <c r="A134" s="47">
        <v>129</v>
      </c>
      <c r="B134" s="25" t="s">
        <v>104</v>
      </c>
      <c r="C134" s="25" t="s">
        <v>103</v>
      </c>
      <c r="D134" s="25" t="s">
        <v>109</v>
      </c>
      <c r="E134" s="25" t="s">
        <v>108</v>
      </c>
      <c r="F134" s="25" t="s">
        <v>532</v>
      </c>
      <c r="G134" s="25" t="s">
        <v>368</v>
      </c>
      <c r="H134" s="25">
        <v>97</v>
      </c>
      <c r="I134" s="25">
        <v>19</v>
      </c>
      <c r="J134" s="25">
        <v>97</v>
      </c>
      <c r="K134" s="25">
        <v>19</v>
      </c>
      <c r="L134" s="25">
        <v>97</v>
      </c>
      <c r="M134" s="25">
        <v>19</v>
      </c>
      <c r="N134" s="25">
        <v>97</v>
      </c>
      <c r="O134" s="25">
        <v>19</v>
      </c>
      <c r="P134" s="25">
        <v>97</v>
      </c>
      <c r="Q134" s="25">
        <v>19</v>
      </c>
      <c r="R134" s="26">
        <f>IFERROR((Table4[[#This Row],[30.04.2025 Individus]]-Table4[[#This Row],[31.03.2025 Individus]])/Table4[[#This Row],[31.03.2025 Individus]],0)</f>
        <v>0</v>
      </c>
      <c r="S134" s="25">
        <f>Table4[[#This Row],[30.04.2025 Individus]]-Table4[[#This Row],[31.03.2025 Individus]]</f>
        <v>0</v>
      </c>
      <c r="T134" s="25" t="str">
        <f>IF(Table4[[#This Row],[Différence]]&lt;0,"Retournés","Déplacés")</f>
        <v>Déplacés</v>
      </c>
      <c r="U134" s="25" t="s">
        <v>591</v>
      </c>
      <c r="V134" s="25" t="str">
        <f>IF(Table4[[#This Row],[Evolution]]=0,"Non","Oui")</f>
        <v>Non</v>
      </c>
      <c r="W134" s="25" t="s">
        <v>725</v>
      </c>
      <c r="X134" s="42" t="s">
        <v>197</v>
      </c>
    </row>
    <row r="135" spans="1:24" s="9" customFormat="1" x14ac:dyDescent="0.3">
      <c r="A135" s="47">
        <v>130</v>
      </c>
      <c r="B135" s="25" t="s">
        <v>104</v>
      </c>
      <c r="C135" s="25" t="s">
        <v>103</v>
      </c>
      <c r="D135" s="25" t="s">
        <v>106</v>
      </c>
      <c r="E135" s="25" t="s">
        <v>105</v>
      </c>
      <c r="F135" s="25" t="s">
        <v>525</v>
      </c>
      <c r="G135" s="25" t="s">
        <v>363</v>
      </c>
      <c r="H135" s="25">
        <v>243</v>
      </c>
      <c r="I135" s="25">
        <v>60</v>
      </c>
      <c r="J135" s="25">
        <v>243</v>
      </c>
      <c r="K135" s="25">
        <v>60</v>
      </c>
      <c r="L135" s="25">
        <v>93</v>
      </c>
      <c r="M135" s="25">
        <v>25</v>
      </c>
      <c r="N135" s="25">
        <v>93</v>
      </c>
      <c r="O135" s="25">
        <v>25</v>
      </c>
      <c r="P135" s="25">
        <v>93</v>
      </c>
      <c r="Q135" s="25">
        <v>25</v>
      </c>
      <c r="R135" s="26">
        <f>IFERROR((Table4[[#This Row],[30.04.2025 Individus]]-Table4[[#This Row],[31.03.2025 Individus]])/Table4[[#This Row],[31.03.2025 Individus]],0)</f>
        <v>0</v>
      </c>
      <c r="S135" s="25">
        <f>Table4[[#This Row],[30.04.2025 Individus]]-Table4[[#This Row],[31.03.2025 Individus]]</f>
        <v>0</v>
      </c>
      <c r="T135" s="25" t="str">
        <f>IF(Table4[[#This Row],[Différence]]&lt;0,"Retournés","Déplacés")</f>
        <v>Déplacés</v>
      </c>
      <c r="U135" s="25" t="s">
        <v>591</v>
      </c>
      <c r="V135" s="25" t="str">
        <f>IF(Table4[[#This Row],[Evolution]]=0,"Non","Oui")</f>
        <v>Non</v>
      </c>
      <c r="W135" s="25" t="s">
        <v>725</v>
      </c>
      <c r="X135" s="42" t="s">
        <v>197</v>
      </c>
    </row>
    <row r="136" spans="1:24" s="9" customFormat="1" x14ac:dyDescent="0.3">
      <c r="A136" s="47">
        <v>131</v>
      </c>
      <c r="B136" s="25" t="s">
        <v>104</v>
      </c>
      <c r="C136" s="25" t="s">
        <v>103</v>
      </c>
      <c r="D136" s="25" t="s">
        <v>441</v>
      </c>
      <c r="E136" s="25" t="s">
        <v>292</v>
      </c>
      <c r="F136" s="25" t="s">
        <v>526</v>
      </c>
      <c r="G136" s="25" t="s">
        <v>292</v>
      </c>
      <c r="H136" s="25">
        <v>0</v>
      </c>
      <c r="I136" s="25">
        <v>0</v>
      </c>
      <c r="J136" s="25">
        <v>0</v>
      </c>
      <c r="K136" s="25">
        <v>0</v>
      </c>
      <c r="L136" s="25">
        <v>0</v>
      </c>
      <c r="M136" s="25">
        <v>0</v>
      </c>
      <c r="N136" s="25">
        <v>0</v>
      </c>
      <c r="O136" s="25">
        <v>0</v>
      </c>
      <c r="P136" s="25">
        <v>0</v>
      </c>
      <c r="Q136" s="25">
        <v>0</v>
      </c>
      <c r="R136" s="26">
        <f>IFERROR((Table4[[#This Row],[30.04.2025 Individus]]-Table4[[#This Row],[31.03.2025 Individus]])/Table4[[#This Row],[31.03.2025 Individus]],0)</f>
        <v>0</v>
      </c>
      <c r="S136" s="25">
        <f>Table4[[#This Row],[30.04.2025 Individus]]-Table4[[#This Row],[31.03.2025 Individus]]</f>
        <v>0</v>
      </c>
      <c r="T136" s="25" t="str">
        <f>IF(Table4[[#This Row],[Différence]]&lt;0,"Retournés","Déplacés")</f>
        <v>Déplacés</v>
      </c>
      <c r="U136" s="25" t="s">
        <v>591</v>
      </c>
      <c r="V136" s="25" t="str">
        <f>IF(Table4[[#This Row],[Evolution]]=0,"Non","Oui")</f>
        <v>Non</v>
      </c>
      <c r="W136" s="25" t="s">
        <v>725</v>
      </c>
      <c r="X136" s="42" t="s">
        <v>197</v>
      </c>
    </row>
    <row r="137" spans="1:24" s="9" customFormat="1" x14ac:dyDescent="0.3">
      <c r="A137" s="47">
        <v>132</v>
      </c>
      <c r="B137" s="25" t="s">
        <v>104</v>
      </c>
      <c r="C137" s="25" t="s">
        <v>103</v>
      </c>
      <c r="D137" s="25" t="s">
        <v>441</v>
      </c>
      <c r="E137" s="25" t="s">
        <v>292</v>
      </c>
      <c r="F137" s="25" t="s">
        <v>690</v>
      </c>
      <c r="G137" s="25" t="s">
        <v>708</v>
      </c>
      <c r="H137" s="25">
        <v>0</v>
      </c>
      <c r="I137" s="25">
        <v>0</v>
      </c>
      <c r="J137" s="25">
        <v>0</v>
      </c>
      <c r="K137" s="25">
        <v>0</v>
      </c>
      <c r="L137" s="25">
        <v>0</v>
      </c>
      <c r="M137" s="25">
        <v>0</v>
      </c>
      <c r="N137" s="25">
        <v>0</v>
      </c>
      <c r="O137" s="25">
        <v>0</v>
      </c>
      <c r="P137" s="25">
        <v>0</v>
      </c>
      <c r="Q137" s="25">
        <v>0</v>
      </c>
      <c r="R137" s="26">
        <f>IFERROR((Table4[[#This Row],[30.04.2025 Individus]]-Table4[[#This Row],[31.03.2025 Individus]])/Table4[[#This Row],[31.03.2025 Individus]],0)</f>
        <v>0</v>
      </c>
      <c r="S137" s="25">
        <f>Table4[[#This Row],[30.04.2025 Individus]]-Table4[[#This Row],[31.03.2025 Individus]]</f>
        <v>0</v>
      </c>
      <c r="T137" s="25" t="str">
        <f>IF(Table4[[#This Row],[Différence]]&lt;0,"Retournés","Déplacés")</f>
        <v>Déplacés</v>
      </c>
      <c r="U137" s="25" t="s">
        <v>591</v>
      </c>
      <c r="V137" s="25" t="str">
        <f>IF(Table4[[#This Row],[Evolution]]=0,"Non","Oui")</f>
        <v>Non</v>
      </c>
      <c r="W137" s="25" t="s">
        <v>725</v>
      </c>
      <c r="X137" s="42" t="s">
        <v>197</v>
      </c>
    </row>
    <row r="138" spans="1:24" s="9" customFormat="1" x14ac:dyDescent="0.3">
      <c r="A138" s="47">
        <v>133</v>
      </c>
      <c r="B138" s="25" t="s">
        <v>104</v>
      </c>
      <c r="C138" s="25" t="s">
        <v>103</v>
      </c>
      <c r="D138" s="25" t="s">
        <v>441</v>
      </c>
      <c r="E138" s="25" t="s">
        <v>292</v>
      </c>
      <c r="F138" s="25" t="s">
        <v>692</v>
      </c>
      <c r="G138" s="25" t="s">
        <v>710</v>
      </c>
      <c r="H138" s="25">
        <v>0</v>
      </c>
      <c r="I138" s="25">
        <v>0</v>
      </c>
      <c r="J138" s="25">
        <v>0</v>
      </c>
      <c r="K138" s="25">
        <v>0</v>
      </c>
      <c r="L138" s="25">
        <v>0</v>
      </c>
      <c r="M138" s="25">
        <v>0</v>
      </c>
      <c r="N138" s="25">
        <v>0</v>
      </c>
      <c r="O138" s="25">
        <v>0</v>
      </c>
      <c r="P138" s="25">
        <v>0</v>
      </c>
      <c r="Q138" s="25">
        <v>0</v>
      </c>
      <c r="R138" s="26">
        <f>IFERROR((Table4[[#This Row],[30.04.2025 Individus]]-Table4[[#This Row],[31.03.2025 Individus]])/Table4[[#This Row],[31.03.2025 Individus]],0)</f>
        <v>0</v>
      </c>
      <c r="S138" s="25">
        <f>Table4[[#This Row],[30.04.2025 Individus]]-Table4[[#This Row],[31.03.2025 Individus]]</f>
        <v>0</v>
      </c>
      <c r="T138" s="25" t="str">
        <f>IF(Table4[[#This Row],[Différence]]&lt;0,"Retournés","Déplacés")</f>
        <v>Déplacés</v>
      </c>
      <c r="U138" s="25" t="s">
        <v>591</v>
      </c>
      <c r="V138" s="25" t="str">
        <f>IF(Table4[[#This Row],[Evolution]]=0,"Non","Oui")</f>
        <v>Non</v>
      </c>
      <c r="W138" s="25" t="s">
        <v>725</v>
      </c>
      <c r="X138" s="42" t="s">
        <v>197</v>
      </c>
    </row>
    <row r="139" spans="1:24" s="9" customFormat="1" x14ac:dyDescent="0.3">
      <c r="A139" s="47">
        <v>134</v>
      </c>
      <c r="B139" s="25" t="s">
        <v>104</v>
      </c>
      <c r="C139" s="25" t="s">
        <v>103</v>
      </c>
      <c r="D139" s="25" t="s">
        <v>441</v>
      </c>
      <c r="E139" s="25" t="s">
        <v>292</v>
      </c>
      <c r="F139" s="25" t="s">
        <v>698</v>
      </c>
      <c r="G139" s="25" t="s">
        <v>714</v>
      </c>
      <c r="H139" s="25">
        <v>0</v>
      </c>
      <c r="I139" s="25">
        <v>0</v>
      </c>
      <c r="J139" s="25">
        <v>0</v>
      </c>
      <c r="K139" s="25">
        <v>0</v>
      </c>
      <c r="L139" s="25">
        <v>14</v>
      </c>
      <c r="M139" s="25">
        <v>3</v>
      </c>
      <c r="N139" s="25">
        <v>14</v>
      </c>
      <c r="O139" s="25">
        <v>3</v>
      </c>
      <c r="P139" s="25">
        <v>14</v>
      </c>
      <c r="Q139" s="25">
        <v>3</v>
      </c>
      <c r="R139" s="26">
        <f>IFERROR((Table4[[#This Row],[30.04.2025 Individus]]-Table4[[#This Row],[31.03.2025 Individus]])/Table4[[#This Row],[31.03.2025 Individus]],0)</f>
        <v>0</v>
      </c>
      <c r="S139" s="25">
        <f>Table4[[#This Row],[30.04.2025 Individus]]-Table4[[#This Row],[31.03.2025 Individus]]</f>
        <v>0</v>
      </c>
      <c r="T139" s="25" t="str">
        <f>IF(Table4[[#This Row],[Différence]]&lt;0,"Retournés","Déplacés")</f>
        <v>Déplacés</v>
      </c>
      <c r="U139" s="25" t="s">
        <v>591</v>
      </c>
      <c r="V139" s="25" t="str">
        <f>IF(Table4[[#This Row],[Evolution]]=0,"Non","Oui")</f>
        <v>Non</v>
      </c>
      <c r="W139" s="25" t="s">
        <v>725</v>
      </c>
      <c r="X139" s="42" t="s">
        <v>197</v>
      </c>
    </row>
    <row r="140" spans="1:24" s="9" customFormat="1" x14ac:dyDescent="0.3">
      <c r="A140" s="47">
        <v>135</v>
      </c>
      <c r="B140" s="25" t="s">
        <v>104</v>
      </c>
      <c r="C140" s="25" t="s">
        <v>103</v>
      </c>
      <c r="D140" s="25" t="s">
        <v>120</v>
      </c>
      <c r="E140" s="25" t="s">
        <v>119</v>
      </c>
      <c r="F140" s="25" t="s">
        <v>530</v>
      </c>
      <c r="G140" s="25" t="s">
        <v>119</v>
      </c>
      <c r="H140" s="25">
        <v>1181</v>
      </c>
      <c r="I140" s="25">
        <v>228</v>
      </c>
      <c r="J140" s="25">
        <v>1181</v>
      </c>
      <c r="K140" s="25">
        <v>228</v>
      </c>
      <c r="L140" s="25">
        <v>1181</v>
      </c>
      <c r="M140" s="25">
        <v>228</v>
      </c>
      <c r="N140" s="25">
        <v>1181</v>
      </c>
      <c r="O140" s="25">
        <v>228</v>
      </c>
      <c r="P140" s="25">
        <f>Table4[[#This Row],[30.04.2025 Ménages]]*5</f>
        <v>1855</v>
      </c>
      <c r="Q140" s="25">
        <v>371</v>
      </c>
      <c r="R140" s="26">
        <f>IFERROR((Table4[[#This Row],[30.04.2025 Individus]]-Table4[[#This Row],[31.03.2025 Individus]])/Table4[[#This Row],[31.03.2025 Individus]],0)</f>
        <v>0.57070279424216763</v>
      </c>
      <c r="S140" s="25">
        <f>Table4[[#This Row],[30.04.2025 Individus]]-Table4[[#This Row],[31.03.2025 Individus]]</f>
        <v>674</v>
      </c>
      <c r="T140" s="25" t="str">
        <f>IF(Table4[[#This Row],[Différence]]&lt;0,"Retournés","Déplacés")</f>
        <v>Déplacés</v>
      </c>
      <c r="U140" s="25" t="s">
        <v>828</v>
      </c>
      <c r="V140" s="25" t="str">
        <f>IF(Table4[[#This Row],[Evolution]]=0,"Non","Oui")</f>
        <v>Oui</v>
      </c>
      <c r="W140" s="25" t="s">
        <v>832</v>
      </c>
      <c r="X140" s="42" t="s">
        <v>831</v>
      </c>
    </row>
    <row r="141" spans="1:24" s="9" customFormat="1" x14ac:dyDescent="0.3">
      <c r="A141" s="47">
        <v>136</v>
      </c>
      <c r="B141" s="25" t="s">
        <v>104</v>
      </c>
      <c r="C141" s="25" t="s">
        <v>103</v>
      </c>
      <c r="D141" s="25" t="s">
        <v>120</v>
      </c>
      <c r="E141" s="25" t="s">
        <v>119</v>
      </c>
      <c r="F141" s="25" t="s">
        <v>529</v>
      </c>
      <c r="G141" s="25" t="s">
        <v>366</v>
      </c>
      <c r="H141" s="25">
        <v>147</v>
      </c>
      <c r="I141" s="25">
        <v>30</v>
      </c>
      <c r="J141" s="25">
        <v>147</v>
      </c>
      <c r="K141" s="25">
        <v>30</v>
      </c>
      <c r="L141" s="25">
        <v>147</v>
      </c>
      <c r="M141" s="25">
        <v>30</v>
      </c>
      <c r="N141" s="25">
        <v>147</v>
      </c>
      <c r="O141" s="25">
        <v>30</v>
      </c>
      <c r="P141" s="25">
        <v>147</v>
      </c>
      <c r="Q141" s="25">
        <v>30</v>
      </c>
      <c r="R141" s="26">
        <f>IFERROR((Table4[[#This Row],[30.04.2025 Individus]]-Table4[[#This Row],[31.03.2025 Individus]])/Table4[[#This Row],[31.03.2025 Individus]],0)</f>
        <v>0</v>
      </c>
      <c r="S141" s="25">
        <f>Table4[[#This Row],[30.04.2025 Individus]]-Table4[[#This Row],[31.03.2025 Individus]]</f>
        <v>0</v>
      </c>
      <c r="T141" s="25" t="str">
        <f>IF(Table4[[#This Row],[Différence]]&lt;0,"Retournés","Déplacés")</f>
        <v>Déplacés</v>
      </c>
      <c r="U141" s="25" t="s">
        <v>591</v>
      </c>
      <c r="V141" s="25" t="str">
        <f>IF(Table4[[#This Row],[Evolution]]=0,"Non","Oui")</f>
        <v>Non</v>
      </c>
      <c r="W141" s="25" t="s">
        <v>725</v>
      </c>
      <c r="X141" s="42" t="s">
        <v>197</v>
      </c>
    </row>
    <row r="142" spans="1:24" s="9" customFormat="1" x14ac:dyDescent="0.3">
      <c r="A142" s="47">
        <v>137</v>
      </c>
      <c r="B142" s="25" t="s">
        <v>104</v>
      </c>
      <c r="C142" s="25" t="s">
        <v>103</v>
      </c>
      <c r="D142" s="25" t="s">
        <v>120</v>
      </c>
      <c r="E142" s="25" t="s">
        <v>119</v>
      </c>
      <c r="F142" s="25" t="s">
        <v>531</v>
      </c>
      <c r="G142" s="25" t="s">
        <v>367</v>
      </c>
      <c r="H142" s="25">
        <v>1051</v>
      </c>
      <c r="I142" s="25">
        <v>208</v>
      </c>
      <c r="J142" s="25">
        <v>1051</v>
      </c>
      <c r="K142" s="25">
        <v>208</v>
      </c>
      <c r="L142" s="25">
        <v>1051</v>
      </c>
      <c r="M142" s="25">
        <v>208</v>
      </c>
      <c r="N142" s="25">
        <v>1051</v>
      </c>
      <c r="O142" s="25">
        <v>208</v>
      </c>
      <c r="P142" s="25">
        <v>1051</v>
      </c>
      <c r="Q142" s="25">
        <v>208</v>
      </c>
      <c r="R142" s="26">
        <f>IFERROR((Table4[[#This Row],[30.04.2025 Individus]]-Table4[[#This Row],[31.03.2025 Individus]])/Table4[[#This Row],[31.03.2025 Individus]],0)</f>
        <v>0</v>
      </c>
      <c r="S142" s="25">
        <f>Table4[[#This Row],[30.04.2025 Individus]]-Table4[[#This Row],[31.03.2025 Individus]]</f>
        <v>0</v>
      </c>
      <c r="T142" s="25" t="str">
        <f>IF(Table4[[#This Row],[Différence]]&lt;0,"Retournés","Déplacés")</f>
        <v>Déplacés</v>
      </c>
      <c r="U142" s="25" t="s">
        <v>591</v>
      </c>
      <c r="V142" s="25" t="str">
        <f>IF(Table4[[#This Row],[Evolution]]=0,"Non","Oui")</f>
        <v>Non</v>
      </c>
      <c r="W142" s="25" t="s">
        <v>725</v>
      </c>
      <c r="X142" s="42" t="s">
        <v>197</v>
      </c>
    </row>
    <row r="143" spans="1:24" s="9" customFormat="1" x14ac:dyDescent="0.3">
      <c r="A143" s="47">
        <v>138</v>
      </c>
      <c r="B143" s="25" t="s">
        <v>104</v>
      </c>
      <c r="C143" s="25" t="s">
        <v>103</v>
      </c>
      <c r="D143" s="25" t="s">
        <v>130</v>
      </c>
      <c r="E143" s="25" t="s">
        <v>129</v>
      </c>
      <c r="F143" s="25" t="s">
        <v>206</v>
      </c>
      <c r="G143" s="25" t="s">
        <v>129</v>
      </c>
      <c r="H143" s="25">
        <v>13545</v>
      </c>
      <c r="I143" s="25">
        <v>2635</v>
      </c>
      <c r="J143" s="25">
        <v>13545</v>
      </c>
      <c r="K143" s="25">
        <v>2635</v>
      </c>
      <c r="L143" s="25">
        <v>16758</v>
      </c>
      <c r="M143" s="25">
        <v>3301</v>
      </c>
      <c r="N143" s="25">
        <v>16758</v>
      </c>
      <c r="O143" s="25">
        <v>3301</v>
      </c>
      <c r="P143" s="25">
        <v>16758</v>
      </c>
      <c r="Q143" s="25">
        <v>3301</v>
      </c>
      <c r="R143" s="26">
        <f>IFERROR((Table4[[#This Row],[30.04.2025 Individus]]-Table4[[#This Row],[31.03.2025 Individus]])/Table4[[#This Row],[31.03.2025 Individus]],0)</f>
        <v>0</v>
      </c>
      <c r="S143" s="25">
        <f>Table4[[#This Row],[30.04.2025 Individus]]-Table4[[#This Row],[31.03.2025 Individus]]</f>
        <v>0</v>
      </c>
      <c r="T143" s="25" t="str">
        <f>IF(Table4[[#This Row],[Différence]]&lt;0,"Retournés","Déplacés")</f>
        <v>Déplacés</v>
      </c>
      <c r="U143" s="25" t="s">
        <v>591</v>
      </c>
      <c r="V143" s="25" t="str">
        <f>IF(Table4[[#This Row],[Evolution]]=0,"Non","Oui")</f>
        <v>Non</v>
      </c>
      <c r="W143" s="25" t="s">
        <v>725</v>
      </c>
      <c r="X143" s="42" t="s">
        <v>197</v>
      </c>
    </row>
    <row r="144" spans="1:24" s="9" customFormat="1" x14ac:dyDescent="0.3">
      <c r="A144" s="47">
        <v>139</v>
      </c>
      <c r="B144" s="25" t="s">
        <v>104</v>
      </c>
      <c r="C144" s="25" t="s">
        <v>103</v>
      </c>
      <c r="D144" s="25" t="s">
        <v>130</v>
      </c>
      <c r="E144" s="25" t="s">
        <v>129</v>
      </c>
      <c r="F144" s="25" t="s">
        <v>527</v>
      </c>
      <c r="G144" s="25" t="s">
        <v>364</v>
      </c>
      <c r="H144" s="25">
        <v>10</v>
      </c>
      <c r="I144" s="25">
        <v>3</v>
      </c>
      <c r="J144" s="25">
        <v>10</v>
      </c>
      <c r="K144" s="25">
        <v>3</v>
      </c>
      <c r="L144" s="25">
        <v>10</v>
      </c>
      <c r="M144" s="25">
        <v>3</v>
      </c>
      <c r="N144" s="25">
        <v>10</v>
      </c>
      <c r="O144" s="25">
        <v>3</v>
      </c>
      <c r="P144" s="25">
        <v>10</v>
      </c>
      <c r="Q144" s="25">
        <v>3</v>
      </c>
      <c r="R144" s="26">
        <f>IFERROR((Table4[[#This Row],[30.04.2025 Individus]]-Table4[[#This Row],[31.03.2025 Individus]])/Table4[[#This Row],[31.03.2025 Individus]],0)</f>
        <v>0</v>
      </c>
      <c r="S144" s="25">
        <f>Table4[[#This Row],[30.04.2025 Individus]]-Table4[[#This Row],[31.03.2025 Individus]]</f>
        <v>0</v>
      </c>
      <c r="T144" s="25" t="str">
        <f>IF(Table4[[#This Row],[Différence]]&lt;0,"Retournés","Déplacés")</f>
        <v>Déplacés</v>
      </c>
      <c r="U144" s="25" t="s">
        <v>591</v>
      </c>
      <c r="V144" s="25" t="str">
        <f>IF(Table4[[#This Row],[Evolution]]=0,"Non","Oui")</f>
        <v>Non</v>
      </c>
      <c r="W144" s="25" t="s">
        <v>725</v>
      </c>
      <c r="X144" s="42" t="s">
        <v>197</v>
      </c>
    </row>
    <row r="145" spans="1:24" s="9" customFormat="1" x14ac:dyDescent="0.3">
      <c r="A145" s="47">
        <v>140</v>
      </c>
      <c r="B145" s="25" t="s">
        <v>104</v>
      </c>
      <c r="C145" s="25" t="s">
        <v>103</v>
      </c>
      <c r="D145" s="25" t="s">
        <v>130</v>
      </c>
      <c r="E145" s="25" t="s">
        <v>129</v>
      </c>
      <c r="F145" s="25" t="s">
        <v>528</v>
      </c>
      <c r="G145" s="25" t="s">
        <v>365</v>
      </c>
      <c r="H145" s="25">
        <v>713</v>
      </c>
      <c r="I145" s="25">
        <v>136</v>
      </c>
      <c r="J145" s="25">
        <v>713</v>
      </c>
      <c r="K145" s="25">
        <v>136</v>
      </c>
      <c r="L145" s="25">
        <v>713</v>
      </c>
      <c r="M145" s="25">
        <v>136</v>
      </c>
      <c r="N145" s="25">
        <v>713</v>
      </c>
      <c r="O145" s="25">
        <v>136</v>
      </c>
      <c r="P145" s="25">
        <v>713</v>
      </c>
      <c r="Q145" s="25">
        <v>136</v>
      </c>
      <c r="R145" s="26">
        <f>IFERROR((Table4[[#This Row],[30.04.2025 Individus]]-Table4[[#This Row],[31.03.2025 Individus]])/Table4[[#This Row],[31.03.2025 Individus]],0)</f>
        <v>0</v>
      </c>
      <c r="S145" s="25">
        <f>Table4[[#This Row],[30.04.2025 Individus]]-Table4[[#This Row],[31.03.2025 Individus]]</f>
        <v>0</v>
      </c>
      <c r="T145" s="25" t="str">
        <f>IF(Table4[[#This Row],[Différence]]&lt;0,"Retournés","Déplacés")</f>
        <v>Déplacés</v>
      </c>
      <c r="U145" s="25" t="s">
        <v>591</v>
      </c>
      <c r="V145" s="25" t="str">
        <f>IF(Table4[[#This Row],[Evolution]]=0,"Non","Oui")</f>
        <v>Non</v>
      </c>
      <c r="W145" s="25" t="s">
        <v>725</v>
      </c>
      <c r="X145" s="42" t="s">
        <v>197</v>
      </c>
    </row>
    <row r="146" spans="1:24" s="9" customFormat="1" x14ac:dyDescent="0.3">
      <c r="A146" s="47">
        <v>141</v>
      </c>
      <c r="B146" s="25" t="s">
        <v>135</v>
      </c>
      <c r="C146" s="25" t="s">
        <v>134</v>
      </c>
      <c r="D146" s="25" t="s">
        <v>181</v>
      </c>
      <c r="E146" s="25" t="s">
        <v>180</v>
      </c>
      <c r="F146" s="25" t="s">
        <v>182</v>
      </c>
      <c r="G146" s="25" t="s">
        <v>180</v>
      </c>
      <c r="H146" s="25">
        <v>3481</v>
      </c>
      <c r="I146" s="25">
        <v>666</v>
      </c>
      <c r="J146" s="25">
        <v>2819</v>
      </c>
      <c r="K146" s="25">
        <v>531</v>
      </c>
      <c r="L146" s="25">
        <v>2819</v>
      </c>
      <c r="M146" s="25">
        <v>531</v>
      </c>
      <c r="N146" s="25">
        <v>2819</v>
      </c>
      <c r="O146" s="25">
        <v>531</v>
      </c>
      <c r="P146" s="25">
        <v>2819</v>
      </c>
      <c r="Q146" s="25">
        <v>531</v>
      </c>
      <c r="R146" s="26">
        <f>IFERROR((Table4[[#This Row],[30.04.2025 Individus]]-Table4[[#This Row],[31.03.2025 Individus]])/Table4[[#This Row],[31.03.2025 Individus]],0)</f>
        <v>0</v>
      </c>
      <c r="S146" s="25">
        <f>Table4[[#This Row],[30.04.2025 Individus]]-Table4[[#This Row],[31.03.2025 Individus]]</f>
        <v>0</v>
      </c>
      <c r="T146" s="25" t="str">
        <f>IF(Table4[[#This Row],[Différence]]&lt;0,"Retournés","Déplacés")</f>
        <v>Déplacés</v>
      </c>
      <c r="U146" s="25" t="s">
        <v>591</v>
      </c>
      <c r="V146" s="25" t="str">
        <f>IF(Table4[[#This Row],[Evolution]]=0,"Non","Oui")</f>
        <v>Non</v>
      </c>
      <c r="W146" s="25" t="s">
        <v>725</v>
      </c>
      <c r="X146" s="42" t="s">
        <v>197</v>
      </c>
    </row>
    <row r="147" spans="1:24" s="9" customFormat="1" x14ac:dyDescent="0.3">
      <c r="A147" s="47">
        <v>142</v>
      </c>
      <c r="B147" s="25" t="s">
        <v>135</v>
      </c>
      <c r="C147" s="25" t="s">
        <v>134</v>
      </c>
      <c r="D147" s="25" t="s">
        <v>181</v>
      </c>
      <c r="E147" s="25" t="s">
        <v>180</v>
      </c>
      <c r="F147" s="25" t="s">
        <v>534</v>
      </c>
      <c r="G147" s="25" t="s">
        <v>373</v>
      </c>
      <c r="H147" s="25">
        <v>3482</v>
      </c>
      <c r="I147" s="25">
        <v>727</v>
      </c>
      <c r="J147" s="25">
        <v>3556</v>
      </c>
      <c r="K147" s="25">
        <v>740</v>
      </c>
      <c r="L147" s="25">
        <v>3556</v>
      </c>
      <c r="M147" s="25">
        <v>740</v>
      </c>
      <c r="N147" s="25">
        <v>3556</v>
      </c>
      <c r="O147" s="25">
        <v>740</v>
      </c>
      <c r="P147" s="25">
        <v>3556</v>
      </c>
      <c r="Q147" s="25">
        <v>740</v>
      </c>
      <c r="R147" s="26">
        <f>IFERROR((Table4[[#This Row],[30.04.2025 Individus]]-Table4[[#This Row],[31.03.2025 Individus]])/Table4[[#This Row],[31.03.2025 Individus]],0)</f>
        <v>0</v>
      </c>
      <c r="S147" s="25">
        <f>Table4[[#This Row],[30.04.2025 Individus]]-Table4[[#This Row],[31.03.2025 Individus]]</f>
        <v>0</v>
      </c>
      <c r="T147" s="25" t="str">
        <f>IF(Table4[[#This Row],[Différence]]&lt;0,"Retournés","Déplacés")</f>
        <v>Déplacés</v>
      </c>
      <c r="U147" s="25" t="s">
        <v>591</v>
      </c>
      <c r="V147" s="25" t="str">
        <f>IF(Table4[[#This Row],[Evolution]]=0,"Non","Oui")</f>
        <v>Non</v>
      </c>
      <c r="W147" s="25" t="s">
        <v>725</v>
      </c>
      <c r="X147" s="42" t="s">
        <v>197</v>
      </c>
    </row>
    <row r="148" spans="1:24" s="9" customFormat="1" x14ac:dyDescent="0.3">
      <c r="A148" s="47">
        <v>143</v>
      </c>
      <c r="B148" s="25" t="s">
        <v>135</v>
      </c>
      <c r="C148" s="25" t="s">
        <v>134</v>
      </c>
      <c r="D148" s="25" t="s">
        <v>181</v>
      </c>
      <c r="E148" s="25" t="s">
        <v>180</v>
      </c>
      <c r="F148" s="25" t="s">
        <v>536</v>
      </c>
      <c r="G148" s="25" t="s">
        <v>375</v>
      </c>
      <c r="H148" s="25">
        <v>1474</v>
      </c>
      <c r="I148" s="25">
        <v>292</v>
      </c>
      <c r="J148" s="25">
        <v>1459</v>
      </c>
      <c r="K148" s="25">
        <v>303</v>
      </c>
      <c r="L148" s="25">
        <v>1459</v>
      </c>
      <c r="M148" s="25">
        <v>303</v>
      </c>
      <c r="N148" s="25">
        <v>1459</v>
      </c>
      <c r="O148" s="25">
        <v>303</v>
      </c>
      <c r="P148" s="25">
        <v>1459</v>
      </c>
      <c r="Q148" s="25">
        <v>303</v>
      </c>
      <c r="R148" s="26">
        <f>IFERROR((Table4[[#This Row],[30.04.2025 Individus]]-Table4[[#This Row],[31.03.2025 Individus]])/Table4[[#This Row],[31.03.2025 Individus]],0)</f>
        <v>0</v>
      </c>
      <c r="S148" s="25">
        <f>Table4[[#This Row],[30.04.2025 Individus]]-Table4[[#This Row],[31.03.2025 Individus]]</f>
        <v>0</v>
      </c>
      <c r="T148" s="25" t="str">
        <f>IF(Table4[[#This Row],[Différence]]&lt;0,"Retournés","Déplacés")</f>
        <v>Déplacés</v>
      </c>
      <c r="U148" s="25" t="s">
        <v>591</v>
      </c>
      <c r="V148" s="25" t="str">
        <f>IF(Table4[[#This Row],[Evolution]]=0,"Non","Oui")</f>
        <v>Non</v>
      </c>
      <c r="W148" s="25" t="s">
        <v>725</v>
      </c>
      <c r="X148" s="42" t="s">
        <v>197</v>
      </c>
    </row>
    <row r="149" spans="1:24" s="9" customFormat="1" x14ac:dyDescent="0.3">
      <c r="A149" s="47">
        <v>144</v>
      </c>
      <c r="B149" s="25" t="s">
        <v>135</v>
      </c>
      <c r="C149" s="25" t="s">
        <v>134</v>
      </c>
      <c r="D149" s="25" t="s">
        <v>181</v>
      </c>
      <c r="E149" s="25" t="s">
        <v>180</v>
      </c>
      <c r="F149" s="25" t="s">
        <v>537</v>
      </c>
      <c r="G149" s="25" t="s">
        <v>376</v>
      </c>
      <c r="H149" s="25">
        <v>1380</v>
      </c>
      <c r="I149" s="25">
        <v>274</v>
      </c>
      <c r="J149" s="25">
        <v>1605</v>
      </c>
      <c r="K149" s="25">
        <v>312</v>
      </c>
      <c r="L149" s="25">
        <v>1605</v>
      </c>
      <c r="M149" s="25">
        <v>312</v>
      </c>
      <c r="N149" s="25">
        <v>1605</v>
      </c>
      <c r="O149" s="25">
        <v>312</v>
      </c>
      <c r="P149" s="25">
        <v>1605</v>
      </c>
      <c r="Q149" s="25">
        <v>312</v>
      </c>
      <c r="R149" s="26">
        <f>IFERROR((Table4[[#This Row],[30.04.2025 Individus]]-Table4[[#This Row],[31.03.2025 Individus]])/Table4[[#This Row],[31.03.2025 Individus]],0)</f>
        <v>0</v>
      </c>
      <c r="S149" s="25">
        <f>Table4[[#This Row],[30.04.2025 Individus]]-Table4[[#This Row],[31.03.2025 Individus]]</f>
        <v>0</v>
      </c>
      <c r="T149" s="25" t="str">
        <f>IF(Table4[[#This Row],[Différence]]&lt;0,"Retournés","Déplacés")</f>
        <v>Déplacés</v>
      </c>
      <c r="U149" s="25" t="s">
        <v>591</v>
      </c>
      <c r="V149" s="25" t="str">
        <f>IF(Table4[[#This Row],[Evolution]]=0,"Non","Oui")</f>
        <v>Non</v>
      </c>
      <c r="W149" s="25" t="s">
        <v>725</v>
      </c>
      <c r="X149" s="42" t="s">
        <v>197</v>
      </c>
    </row>
    <row r="150" spans="1:24" s="9" customFormat="1" x14ac:dyDescent="0.3">
      <c r="A150" s="47">
        <v>145</v>
      </c>
      <c r="B150" s="25" t="s">
        <v>135</v>
      </c>
      <c r="C150" s="25" t="s">
        <v>134</v>
      </c>
      <c r="D150" s="25" t="s">
        <v>181</v>
      </c>
      <c r="E150" s="25" t="s">
        <v>180</v>
      </c>
      <c r="F150" s="25" t="s">
        <v>535</v>
      </c>
      <c r="G150" s="25" t="s">
        <v>374</v>
      </c>
      <c r="H150" s="25">
        <v>3421</v>
      </c>
      <c r="I150" s="25">
        <v>688</v>
      </c>
      <c r="J150" s="25">
        <v>3688</v>
      </c>
      <c r="K150" s="25">
        <v>677</v>
      </c>
      <c r="L150" s="25">
        <v>3688</v>
      </c>
      <c r="M150" s="25">
        <v>677</v>
      </c>
      <c r="N150" s="25">
        <v>3688</v>
      </c>
      <c r="O150" s="25">
        <v>677</v>
      </c>
      <c r="P150" s="25">
        <v>3688</v>
      </c>
      <c r="Q150" s="25">
        <v>677</v>
      </c>
      <c r="R150" s="26">
        <f>IFERROR((Table4[[#This Row],[30.04.2025 Individus]]-Table4[[#This Row],[31.03.2025 Individus]])/Table4[[#This Row],[31.03.2025 Individus]],0)</f>
        <v>0</v>
      </c>
      <c r="S150" s="25">
        <f>Table4[[#This Row],[30.04.2025 Individus]]-Table4[[#This Row],[31.03.2025 Individus]]</f>
        <v>0</v>
      </c>
      <c r="T150" s="25" t="str">
        <f>IF(Table4[[#This Row],[Différence]]&lt;0,"Retournés","Déplacés")</f>
        <v>Déplacés</v>
      </c>
      <c r="U150" s="25" t="s">
        <v>591</v>
      </c>
      <c r="V150" s="25" t="str">
        <f>IF(Table4[[#This Row],[Evolution]]=0,"Non","Oui")</f>
        <v>Non</v>
      </c>
      <c r="W150" s="25" t="s">
        <v>725</v>
      </c>
      <c r="X150" s="42" t="s">
        <v>197</v>
      </c>
    </row>
    <row r="151" spans="1:24" s="9" customFormat="1" x14ac:dyDescent="0.3">
      <c r="A151" s="47">
        <v>146</v>
      </c>
      <c r="B151" s="25" t="s">
        <v>135</v>
      </c>
      <c r="C151" s="25" t="s">
        <v>134</v>
      </c>
      <c r="D151" s="25" t="s">
        <v>181</v>
      </c>
      <c r="E151" s="25" t="s">
        <v>180</v>
      </c>
      <c r="F151" s="25" t="s">
        <v>533</v>
      </c>
      <c r="G151" s="25" t="s">
        <v>372</v>
      </c>
      <c r="H151" s="25">
        <v>3902</v>
      </c>
      <c r="I151" s="25">
        <v>763</v>
      </c>
      <c r="J151" s="25">
        <v>4193</v>
      </c>
      <c r="K151" s="25">
        <v>816</v>
      </c>
      <c r="L151" s="25">
        <v>4193</v>
      </c>
      <c r="M151" s="25">
        <v>816</v>
      </c>
      <c r="N151" s="25">
        <v>4193</v>
      </c>
      <c r="O151" s="25">
        <v>816</v>
      </c>
      <c r="P151" s="25">
        <v>4193</v>
      </c>
      <c r="Q151" s="25">
        <v>816</v>
      </c>
      <c r="R151" s="26">
        <f>IFERROR((Table4[[#This Row],[30.04.2025 Individus]]-Table4[[#This Row],[31.03.2025 Individus]])/Table4[[#This Row],[31.03.2025 Individus]],0)</f>
        <v>0</v>
      </c>
      <c r="S151" s="25">
        <f>Table4[[#This Row],[30.04.2025 Individus]]-Table4[[#This Row],[31.03.2025 Individus]]</f>
        <v>0</v>
      </c>
      <c r="T151" s="25" t="str">
        <f>IF(Table4[[#This Row],[Différence]]&lt;0,"Retournés","Déplacés")</f>
        <v>Déplacés</v>
      </c>
      <c r="U151" s="25" t="s">
        <v>591</v>
      </c>
      <c r="V151" s="25" t="str">
        <f>IF(Table4[[#This Row],[Evolution]]=0,"Non","Oui")</f>
        <v>Non</v>
      </c>
      <c r="W151" s="25" t="s">
        <v>725</v>
      </c>
      <c r="X151" s="42" t="s">
        <v>197</v>
      </c>
    </row>
    <row r="152" spans="1:24" s="9" customFormat="1" x14ac:dyDescent="0.3">
      <c r="A152" s="47">
        <v>147</v>
      </c>
      <c r="B152" s="25" t="s">
        <v>135</v>
      </c>
      <c r="C152" s="25" t="s">
        <v>134</v>
      </c>
      <c r="D152" s="25" t="s">
        <v>442</v>
      </c>
      <c r="E152" s="25" t="s">
        <v>293</v>
      </c>
      <c r="F152" s="25" t="s">
        <v>538</v>
      </c>
      <c r="G152" s="25" t="s">
        <v>293</v>
      </c>
      <c r="H152" s="25">
        <v>5056</v>
      </c>
      <c r="I152" s="25">
        <v>991</v>
      </c>
      <c r="J152" s="25">
        <v>3935</v>
      </c>
      <c r="K152" s="25">
        <v>771</v>
      </c>
      <c r="L152" s="25">
        <v>3935</v>
      </c>
      <c r="M152" s="25">
        <v>771</v>
      </c>
      <c r="N152" s="25">
        <v>3935</v>
      </c>
      <c r="O152" s="25">
        <v>771</v>
      </c>
      <c r="P152" s="25">
        <v>5165</v>
      </c>
      <c r="Q152" s="25">
        <v>990</v>
      </c>
      <c r="R152" s="26">
        <f>IFERROR((Table4[[#This Row],[30.04.2025 Individus]]-Table4[[#This Row],[31.03.2025 Individus]])/Table4[[#This Row],[31.03.2025 Individus]],0)</f>
        <v>0.31257941550190599</v>
      </c>
      <c r="S152" s="25">
        <f>Table4[[#This Row],[30.04.2025 Individus]]-Table4[[#This Row],[31.03.2025 Individus]]</f>
        <v>1230</v>
      </c>
      <c r="T152" s="25" t="str">
        <f>IF(Table4[[#This Row],[Différence]]&lt;0,"Retournés","Déplacés")</f>
        <v>Déplacés</v>
      </c>
      <c r="U152" s="25" t="s">
        <v>828</v>
      </c>
      <c r="V152" s="25" t="str">
        <f>IF(Table4[[#This Row],[Evolution]]=0,"Non","Oui")</f>
        <v>Oui</v>
      </c>
      <c r="W152" s="25" t="s">
        <v>834</v>
      </c>
      <c r="X152" t="s">
        <v>833</v>
      </c>
    </row>
    <row r="153" spans="1:24" s="9" customFormat="1" x14ac:dyDescent="0.3">
      <c r="A153" s="47">
        <v>148</v>
      </c>
      <c r="B153" s="25" t="s">
        <v>135</v>
      </c>
      <c r="C153" s="25" t="s">
        <v>134</v>
      </c>
      <c r="D153" s="25" t="s">
        <v>403</v>
      </c>
      <c r="E153" s="25" t="s">
        <v>251</v>
      </c>
      <c r="F153" s="25" t="s">
        <v>449</v>
      </c>
      <c r="G153" s="25" t="s">
        <v>302</v>
      </c>
      <c r="H153" s="25">
        <v>7909</v>
      </c>
      <c r="I153" s="25">
        <v>1614</v>
      </c>
      <c r="J153" s="25">
        <v>5725</v>
      </c>
      <c r="K153" s="25">
        <v>1174</v>
      </c>
      <c r="L153" s="25">
        <v>5725</v>
      </c>
      <c r="M153" s="25">
        <v>1174</v>
      </c>
      <c r="N153" s="25">
        <v>5725</v>
      </c>
      <c r="O153" s="25">
        <v>1174</v>
      </c>
      <c r="P153" s="25">
        <v>5725</v>
      </c>
      <c r="Q153" s="25">
        <v>1174</v>
      </c>
      <c r="R153" s="26">
        <f>IFERROR((Table4[[#This Row],[30.04.2025 Individus]]-Table4[[#This Row],[31.03.2025 Individus]])/Table4[[#This Row],[31.03.2025 Individus]],0)</f>
        <v>0</v>
      </c>
      <c r="S153" s="25">
        <f>Table4[[#This Row],[30.04.2025 Individus]]-Table4[[#This Row],[31.03.2025 Individus]]</f>
        <v>0</v>
      </c>
      <c r="T153" s="25" t="str">
        <f>IF(Table4[[#This Row],[Différence]]&lt;0,"Retournés","Déplacés")</f>
        <v>Déplacés</v>
      </c>
      <c r="U153" s="25" t="s">
        <v>591</v>
      </c>
      <c r="V153" s="25" t="str">
        <f>IF(Table4[[#This Row],[Evolution]]=0,"Non","Oui")</f>
        <v>Non</v>
      </c>
      <c r="W153" s="25" t="s">
        <v>725</v>
      </c>
      <c r="X153" s="42" t="s">
        <v>197</v>
      </c>
    </row>
    <row r="154" spans="1:24" s="9" customFormat="1" x14ac:dyDescent="0.3">
      <c r="A154" s="47">
        <v>149</v>
      </c>
      <c r="B154" s="25" t="s">
        <v>135</v>
      </c>
      <c r="C154" s="25" t="s">
        <v>134</v>
      </c>
      <c r="D154" s="25" t="s">
        <v>443</v>
      </c>
      <c r="E154" s="25" t="s">
        <v>294</v>
      </c>
      <c r="F154" s="25" t="s">
        <v>539</v>
      </c>
      <c r="G154" s="25" t="s">
        <v>294</v>
      </c>
      <c r="H154" s="25">
        <v>7301</v>
      </c>
      <c r="I154" s="25">
        <v>1398</v>
      </c>
      <c r="J154" s="25">
        <v>5225</v>
      </c>
      <c r="K154" s="25">
        <v>1041</v>
      </c>
      <c r="L154" s="25">
        <v>5225</v>
      </c>
      <c r="M154" s="25">
        <v>1041</v>
      </c>
      <c r="N154" s="25">
        <v>5225</v>
      </c>
      <c r="O154" s="25">
        <v>1041</v>
      </c>
      <c r="P154" s="25">
        <v>5225</v>
      </c>
      <c r="Q154" s="25">
        <v>1041</v>
      </c>
      <c r="R154" s="26">
        <f>IFERROR((Table4[[#This Row],[30.04.2025 Individus]]-Table4[[#This Row],[31.03.2025 Individus]])/Table4[[#This Row],[31.03.2025 Individus]],0)</f>
        <v>0</v>
      </c>
      <c r="S154" s="25">
        <f>Table4[[#This Row],[30.04.2025 Individus]]-Table4[[#This Row],[31.03.2025 Individus]]</f>
        <v>0</v>
      </c>
      <c r="T154" s="25" t="str">
        <f>IF(Table4[[#This Row],[Différence]]&lt;0,"Retournés","Déplacés")</f>
        <v>Déplacés</v>
      </c>
      <c r="U154" s="25" t="s">
        <v>591</v>
      </c>
      <c r="V154" s="25" t="str">
        <f>IF(Table4[[#This Row],[Evolution]]=0,"Non","Oui")</f>
        <v>Non</v>
      </c>
      <c r="W154" s="25" t="s">
        <v>725</v>
      </c>
      <c r="X154" s="42" t="s">
        <v>197</v>
      </c>
    </row>
    <row r="155" spans="1:24" s="9" customFormat="1" x14ac:dyDescent="0.3">
      <c r="A155" s="47">
        <v>150</v>
      </c>
      <c r="B155" s="25" t="s">
        <v>185</v>
      </c>
      <c r="C155" s="25" t="s">
        <v>184</v>
      </c>
      <c r="D155" s="25" t="s">
        <v>405</v>
      </c>
      <c r="E155" s="25" t="s">
        <v>253</v>
      </c>
      <c r="F155" s="25" t="s">
        <v>451</v>
      </c>
      <c r="G155" s="25" t="s">
        <v>253</v>
      </c>
      <c r="H155" s="25">
        <v>3270</v>
      </c>
      <c r="I155" s="25">
        <v>654</v>
      </c>
      <c r="J155" s="25">
        <f>4956+2085</f>
        <v>7041</v>
      </c>
      <c r="K155" s="25">
        <f>691+417</f>
        <v>1108</v>
      </c>
      <c r="L155" s="25">
        <f>4956+2085</f>
        <v>7041</v>
      </c>
      <c r="M155" s="25">
        <f>691+417</f>
        <v>1108</v>
      </c>
      <c r="N155" s="25">
        <f>Table4[[#This Row],[28.02.2025 Individus]]-4477</f>
        <v>2564</v>
      </c>
      <c r="O155" s="25">
        <f>691+417</f>
        <v>1108</v>
      </c>
      <c r="P155" s="25">
        <f>Table4[[#This Row],[28.02.2025 Individus]]-4477</f>
        <v>2564</v>
      </c>
      <c r="Q155" s="25">
        <f>691+417</f>
        <v>1108</v>
      </c>
      <c r="R155" s="26">
        <f>IFERROR((Table4[[#This Row],[30.04.2025 Individus]]-Table4[[#This Row],[31.03.2025 Individus]])/Table4[[#This Row],[31.03.2025 Individus]],0)</f>
        <v>0</v>
      </c>
      <c r="S155" s="25">
        <f>Table4[[#This Row],[30.04.2025 Individus]]-Table4[[#This Row],[31.03.2025 Individus]]</f>
        <v>0</v>
      </c>
      <c r="T155" s="25" t="str">
        <f>IF(Table4[[#This Row],[Différence]]&lt;0,"Retournés","Déplacés")</f>
        <v>Déplacés</v>
      </c>
      <c r="U155" s="25" t="s">
        <v>761</v>
      </c>
      <c r="V155" s="25" t="str">
        <f>IF(Table4[[#This Row],[Evolution]]=0,"Non","Oui")</f>
        <v>Non</v>
      </c>
      <c r="W155" s="25" t="s">
        <v>773</v>
      </c>
      <c r="X155" s="42" t="s">
        <v>738</v>
      </c>
    </row>
    <row r="156" spans="1:24" s="9" customFormat="1" x14ac:dyDescent="0.3">
      <c r="A156" s="47">
        <v>151</v>
      </c>
      <c r="B156" s="25" t="s">
        <v>185</v>
      </c>
      <c r="C156" s="25" t="s">
        <v>184</v>
      </c>
      <c r="D156" s="25" t="s">
        <v>405</v>
      </c>
      <c r="E156" s="25" t="s">
        <v>253</v>
      </c>
      <c r="F156" s="25" t="s">
        <v>688</v>
      </c>
      <c r="G156" s="25" t="s">
        <v>706</v>
      </c>
      <c r="H156" s="25">
        <v>0</v>
      </c>
      <c r="I156" s="25">
        <v>0</v>
      </c>
      <c r="J156" s="25">
        <v>0</v>
      </c>
      <c r="K156" s="25">
        <v>0</v>
      </c>
      <c r="L156" s="25">
        <v>0</v>
      </c>
      <c r="M156" s="25">
        <v>0</v>
      </c>
      <c r="N156" s="25">
        <v>0</v>
      </c>
      <c r="O156" s="25">
        <v>0</v>
      </c>
      <c r="P156" s="25">
        <v>0</v>
      </c>
      <c r="Q156" s="25">
        <v>0</v>
      </c>
      <c r="R156" s="26">
        <f>IFERROR((Table4[[#This Row],[30.04.2025 Individus]]-Table4[[#This Row],[31.03.2025 Individus]])/Table4[[#This Row],[31.03.2025 Individus]],0)</f>
        <v>0</v>
      </c>
      <c r="S156" s="25">
        <f>Table4[[#This Row],[30.04.2025 Individus]]-Table4[[#This Row],[31.03.2025 Individus]]</f>
        <v>0</v>
      </c>
      <c r="T156" s="25" t="str">
        <f>IF(Table4[[#This Row],[Différence]]&lt;0,"Retournés","Déplacés")</f>
        <v>Déplacés</v>
      </c>
      <c r="U156" s="25" t="s">
        <v>591</v>
      </c>
      <c r="V156" s="25" t="str">
        <f>IF(Table4[[#This Row],[Evolution]]=0,"Non","Oui")</f>
        <v>Non</v>
      </c>
      <c r="W156" s="25" t="s">
        <v>725</v>
      </c>
      <c r="X156" s="42" t="s">
        <v>197</v>
      </c>
    </row>
    <row r="157" spans="1:24" s="9" customFormat="1" x14ac:dyDescent="0.3">
      <c r="A157" s="47">
        <v>152</v>
      </c>
      <c r="B157" s="25" t="s">
        <v>185</v>
      </c>
      <c r="C157" s="25" t="s">
        <v>184</v>
      </c>
      <c r="D157" s="25" t="s">
        <v>405</v>
      </c>
      <c r="E157" s="25" t="s">
        <v>253</v>
      </c>
      <c r="F157" s="25" t="s">
        <v>685</v>
      </c>
      <c r="G157" s="25" t="s">
        <v>704</v>
      </c>
      <c r="H157" s="25">
        <v>0</v>
      </c>
      <c r="I157" s="25">
        <v>0</v>
      </c>
      <c r="J157" s="25">
        <v>0</v>
      </c>
      <c r="K157" s="25">
        <v>0</v>
      </c>
      <c r="L157" s="25">
        <v>0</v>
      </c>
      <c r="M157" s="25">
        <v>0</v>
      </c>
      <c r="N157" s="25">
        <v>0</v>
      </c>
      <c r="O157" s="25">
        <v>0</v>
      </c>
      <c r="P157" s="25">
        <v>0</v>
      </c>
      <c r="Q157" s="25">
        <v>0</v>
      </c>
      <c r="R157" s="26">
        <f>IFERROR((Table4[[#This Row],[30.04.2025 Individus]]-Table4[[#This Row],[31.03.2025 Individus]])/Table4[[#This Row],[31.03.2025 Individus]],0)</f>
        <v>0</v>
      </c>
      <c r="S157" s="25">
        <f>Table4[[#This Row],[30.04.2025 Individus]]-Table4[[#This Row],[31.03.2025 Individus]]</f>
        <v>0</v>
      </c>
      <c r="T157" s="25" t="str">
        <f>IF(Table4[[#This Row],[Différence]]&lt;0,"Retournés","Déplacés")</f>
        <v>Déplacés</v>
      </c>
      <c r="U157" s="25" t="s">
        <v>591</v>
      </c>
      <c r="V157" s="25" t="str">
        <f>IF(Table4[[#This Row],[Evolution]]=0,"Non","Oui")</f>
        <v>Non</v>
      </c>
      <c r="W157" s="25" t="s">
        <v>725</v>
      </c>
      <c r="X157" s="42" t="s">
        <v>197</v>
      </c>
    </row>
    <row r="158" spans="1:24" s="9" customFormat="1" x14ac:dyDescent="0.3">
      <c r="A158" s="47">
        <v>153</v>
      </c>
      <c r="B158" s="25" t="s">
        <v>185</v>
      </c>
      <c r="C158" s="25" t="s">
        <v>184</v>
      </c>
      <c r="D158" s="25" t="s">
        <v>405</v>
      </c>
      <c r="E158" s="25" t="s">
        <v>253</v>
      </c>
      <c r="F158" s="25" t="s">
        <v>544</v>
      </c>
      <c r="G158" s="25" t="s">
        <v>391</v>
      </c>
      <c r="H158" s="25">
        <v>0</v>
      </c>
      <c r="I158" s="25">
        <v>0</v>
      </c>
      <c r="J158" s="25">
        <v>0</v>
      </c>
      <c r="K158" s="25">
        <v>0</v>
      </c>
      <c r="L158" s="25">
        <v>0</v>
      </c>
      <c r="M158" s="25">
        <v>0</v>
      </c>
      <c r="N158" s="25">
        <v>0</v>
      </c>
      <c r="O158" s="25">
        <v>0</v>
      </c>
      <c r="P158" s="25">
        <v>0</v>
      </c>
      <c r="Q158" s="25">
        <v>0</v>
      </c>
      <c r="R158" s="26">
        <f>IFERROR((Table4[[#This Row],[30.04.2025 Individus]]-Table4[[#This Row],[31.03.2025 Individus]])/Table4[[#This Row],[31.03.2025 Individus]],0)</f>
        <v>0</v>
      </c>
      <c r="S158" s="25">
        <f>Table4[[#This Row],[30.04.2025 Individus]]-Table4[[#This Row],[31.03.2025 Individus]]</f>
        <v>0</v>
      </c>
      <c r="T158" s="25" t="str">
        <f>IF(Table4[[#This Row],[Différence]]&lt;0,"Retournés","Déplacés")</f>
        <v>Déplacés</v>
      </c>
      <c r="U158" s="25" t="s">
        <v>591</v>
      </c>
      <c r="V158" s="25" t="str">
        <f>IF(Table4[[#This Row],[Evolution]]=0,"Non","Oui")</f>
        <v>Non</v>
      </c>
      <c r="W158" s="25" t="s">
        <v>725</v>
      </c>
      <c r="X158" s="42" t="s">
        <v>197</v>
      </c>
    </row>
    <row r="159" spans="1:24" s="9" customFormat="1" x14ac:dyDescent="0.3">
      <c r="A159" s="47">
        <v>154</v>
      </c>
      <c r="B159" s="25" t="s">
        <v>185</v>
      </c>
      <c r="C159" s="25" t="s">
        <v>184</v>
      </c>
      <c r="D159" s="25" t="s">
        <v>405</v>
      </c>
      <c r="E159" s="25" t="s">
        <v>253</v>
      </c>
      <c r="F159" s="25" t="s">
        <v>542</v>
      </c>
      <c r="G159" s="25" t="s">
        <v>381</v>
      </c>
      <c r="H159" s="25">
        <v>0</v>
      </c>
      <c r="I159" s="25">
        <v>0</v>
      </c>
      <c r="J159" s="25">
        <v>0</v>
      </c>
      <c r="K159" s="25">
        <v>0</v>
      </c>
      <c r="L159" s="25">
        <v>0</v>
      </c>
      <c r="M159" s="25">
        <v>0</v>
      </c>
      <c r="N159" s="25">
        <v>0</v>
      </c>
      <c r="O159" s="25">
        <v>0</v>
      </c>
      <c r="P159" s="25">
        <v>0</v>
      </c>
      <c r="Q159" s="25">
        <v>0</v>
      </c>
      <c r="R159" s="26">
        <f>IFERROR((Table4[[#This Row],[30.04.2025 Individus]]-Table4[[#This Row],[31.03.2025 Individus]])/Table4[[#This Row],[31.03.2025 Individus]],0)</f>
        <v>0</v>
      </c>
      <c r="S159" s="25">
        <f>Table4[[#This Row],[30.04.2025 Individus]]-Table4[[#This Row],[31.03.2025 Individus]]</f>
        <v>0</v>
      </c>
      <c r="T159" s="25" t="str">
        <f>IF(Table4[[#This Row],[Différence]]&lt;0,"Retournés","Déplacés")</f>
        <v>Déplacés</v>
      </c>
      <c r="U159" s="25" t="s">
        <v>591</v>
      </c>
      <c r="V159" s="25" t="str">
        <f>IF(Table4[[#This Row],[Evolution]]=0,"Non","Oui")</f>
        <v>Non</v>
      </c>
      <c r="W159" s="25" t="s">
        <v>725</v>
      </c>
      <c r="X159" s="42" t="s">
        <v>197</v>
      </c>
    </row>
    <row r="160" spans="1:24" s="9" customFormat="1" x14ac:dyDescent="0.3">
      <c r="A160" s="47">
        <v>155</v>
      </c>
      <c r="B160" s="25" t="s">
        <v>185</v>
      </c>
      <c r="C160" s="25" t="s">
        <v>184</v>
      </c>
      <c r="D160" s="25" t="s">
        <v>187</v>
      </c>
      <c r="E160" s="25" t="s">
        <v>186</v>
      </c>
      <c r="F160" s="25" t="s">
        <v>207</v>
      </c>
      <c r="G160" s="25" t="s">
        <v>186</v>
      </c>
      <c r="H160" s="25">
        <v>3190</v>
      </c>
      <c r="I160" s="25">
        <v>619</v>
      </c>
      <c r="J160" s="25">
        <v>3255</v>
      </c>
      <c r="K160" s="25">
        <v>629</v>
      </c>
      <c r="L160" s="25">
        <v>3255</v>
      </c>
      <c r="M160" s="25">
        <v>629</v>
      </c>
      <c r="N160" s="25">
        <v>3255</v>
      </c>
      <c r="O160" s="25">
        <v>629</v>
      </c>
      <c r="P160" s="25">
        <v>3255</v>
      </c>
      <c r="Q160" s="25">
        <v>629</v>
      </c>
      <c r="R160" s="26">
        <f>IFERROR((Table4[[#This Row],[30.04.2025 Individus]]-Table4[[#This Row],[31.03.2025 Individus]])/Table4[[#This Row],[31.03.2025 Individus]],0)</f>
        <v>0</v>
      </c>
      <c r="S160" s="25">
        <f>Table4[[#This Row],[30.04.2025 Individus]]-Table4[[#This Row],[31.03.2025 Individus]]</f>
        <v>0</v>
      </c>
      <c r="T160" s="25" t="str">
        <f>IF(Table4[[#This Row],[Différence]]&lt;0,"Retournés","Déplacés")</f>
        <v>Déplacés</v>
      </c>
      <c r="U160" s="25" t="s">
        <v>591</v>
      </c>
      <c r="V160" s="25" t="str">
        <f>IF(Table4[[#This Row],[Evolution]]=0,"Non","Oui")</f>
        <v>Non</v>
      </c>
      <c r="W160" s="25" t="s">
        <v>725</v>
      </c>
      <c r="X160" s="42" t="s">
        <v>197</v>
      </c>
    </row>
    <row r="161" spans="1:24" s="9" customFormat="1" x14ac:dyDescent="0.3">
      <c r="A161" s="47">
        <v>156</v>
      </c>
      <c r="B161" s="25" t="s">
        <v>185</v>
      </c>
      <c r="C161" s="25" t="s">
        <v>184</v>
      </c>
      <c r="D161" s="25" t="s">
        <v>187</v>
      </c>
      <c r="E161" s="25" t="s">
        <v>186</v>
      </c>
      <c r="F161" s="25" t="s">
        <v>541</v>
      </c>
      <c r="G161" s="25" t="s">
        <v>380</v>
      </c>
      <c r="H161" s="25">
        <v>90</v>
      </c>
      <c r="I161" s="25">
        <v>15</v>
      </c>
      <c r="J161" s="25">
        <v>20</v>
      </c>
      <c r="K161" s="25">
        <v>4</v>
      </c>
      <c r="L161" s="25">
        <v>20</v>
      </c>
      <c r="M161" s="25">
        <v>4</v>
      </c>
      <c r="N161" s="25">
        <v>20</v>
      </c>
      <c r="O161" s="25">
        <v>4</v>
      </c>
      <c r="P161" s="25">
        <v>20</v>
      </c>
      <c r="Q161" s="25">
        <v>4</v>
      </c>
      <c r="R161" s="26">
        <f>IFERROR((Table4[[#This Row],[30.04.2025 Individus]]-Table4[[#This Row],[31.03.2025 Individus]])/Table4[[#This Row],[31.03.2025 Individus]],0)</f>
        <v>0</v>
      </c>
      <c r="S161" s="25">
        <f>Table4[[#This Row],[30.04.2025 Individus]]-Table4[[#This Row],[31.03.2025 Individus]]</f>
        <v>0</v>
      </c>
      <c r="T161" s="25" t="str">
        <f>IF(Table4[[#This Row],[Différence]]&lt;0,"Retournés","Déplacés")</f>
        <v>Déplacés</v>
      </c>
      <c r="U161" s="25" t="s">
        <v>591</v>
      </c>
      <c r="V161" s="25" t="str">
        <f>IF(Table4[[#This Row],[Evolution]]=0,"Non","Oui")</f>
        <v>Non</v>
      </c>
      <c r="W161" s="25" t="s">
        <v>725</v>
      </c>
      <c r="X161" s="42" t="s">
        <v>197</v>
      </c>
    </row>
    <row r="162" spans="1:24" s="9" customFormat="1" x14ac:dyDescent="0.3">
      <c r="A162" s="47">
        <v>157</v>
      </c>
      <c r="B162" s="25" t="s">
        <v>185</v>
      </c>
      <c r="C162" s="25" t="s">
        <v>184</v>
      </c>
      <c r="D162" s="25" t="s">
        <v>187</v>
      </c>
      <c r="E162" s="25" t="s">
        <v>186</v>
      </c>
      <c r="F162" s="25" t="s">
        <v>540</v>
      </c>
      <c r="G162" s="25" t="s">
        <v>379</v>
      </c>
      <c r="H162" s="25">
        <v>0</v>
      </c>
      <c r="I162" s="25">
        <v>0</v>
      </c>
      <c r="J162" s="25">
        <v>317</v>
      </c>
      <c r="K162" s="25">
        <v>41</v>
      </c>
      <c r="L162" s="25">
        <v>317</v>
      </c>
      <c r="M162" s="25">
        <v>41</v>
      </c>
      <c r="N162" s="25">
        <v>317</v>
      </c>
      <c r="O162" s="25">
        <v>41</v>
      </c>
      <c r="P162" s="25">
        <v>317</v>
      </c>
      <c r="Q162" s="25">
        <v>41</v>
      </c>
      <c r="R162" s="26">
        <f>IFERROR((Table4[[#This Row],[30.04.2025 Individus]]-Table4[[#This Row],[31.03.2025 Individus]])/Table4[[#This Row],[31.03.2025 Individus]],0)</f>
        <v>0</v>
      </c>
      <c r="S162" s="25">
        <f>Table4[[#This Row],[30.04.2025 Individus]]-Table4[[#This Row],[31.03.2025 Individus]]</f>
        <v>0</v>
      </c>
      <c r="T162" s="25" t="str">
        <f>IF(Table4[[#This Row],[Différence]]&lt;0,"Retournés","Déplacés")</f>
        <v>Déplacés</v>
      </c>
      <c r="U162" s="25" t="s">
        <v>591</v>
      </c>
      <c r="V162" s="25" t="str">
        <f>IF(Table4[[#This Row],[Evolution]]=0,"Non","Oui")</f>
        <v>Non</v>
      </c>
      <c r="W162" s="25" t="s">
        <v>725</v>
      </c>
      <c r="X162" s="42" t="s">
        <v>197</v>
      </c>
    </row>
    <row r="163" spans="1:24" s="9" customFormat="1" x14ac:dyDescent="0.3">
      <c r="A163" s="47">
        <v>158</v>
      </c>
      <c r="B163" s="25" t="s">
        <v>185</v>
      </c>
      <c r="C163" s="25" t="s">
        <v>184</v>
      </c>
      <c r="D163" s="25" t="s">
        <v>444</v>
      </c>
      <c r="E163" s="25" t="s">
        <v>295</v>
      </c>
      <c r="F163" s="25" t="s">
        <v>543</v>
      </c>
      <c r="G163" s="25" t="s">
        <v>295</v>
      </c>
      <c r="H163" s="25">
        <v>796</v>
      </c>
      <c r="I163" s="25">
        <v>155</v>
      </c>
      <c r="J163" s="25">
        <v>876</v>
      </c>
      <c r="K163" s="25">
        <v>168</v>
      </c>
      <c r="L163" s="25">
        <v>876</v>
      </c>
      <c r="M163" s="25">
        <v>168</v>
      </c>
      <c r="N163" s="25">
        <v>876</v>
      </c>
      <c r="O163" s="25">
        <v>168</v>
      </c>
      <c r="P163" s="25">
        <v>876</v>
      </c>
      <c r="Q163" s="25">
        <v>168</v>
      </c>
      <c r="R163" s="26">
        <f>IFERROR((Table4[[#This Row],[30.04.2025 Individus]]-Table4[[#This Row],[31.03.2025 Individus]])/Table4[[#This Row],[31.03.2025 Individus]],0)</f>
        <v>0</v>
      </c>
      <c r="S163" s="25">
        <f>Table4[[#This Row],[30.04.2025 Individus]]-Table4[[#This Row],[31.03.2025 Individus]]</f>
        <v>0</v>
      </c>
      <c r="T163" s="25" t="str">
        <f>IF(Table4[[#This Row],[Différence]]&lt;0,"Retournés","Déplacés")</f>
        <v>Déplacés</v>
      </c>
      <c r="U163" s="25" t="s">
        <v>591</v>
      </c>
      <c r="V163" s="25" t="str">
        <f>IF(Table4[[#This Row],[Evolution]]=0,"Non","Oui")</f>
        <v>Non</v>
      </c>
      <c r="W163" s="25" t="s">
        <v>725</v>
      </c>
      <c r="X163" s="42" t="s">
        <v>197</v>
      </c>
    </row>
    <row r="164" spans="1:24" s="9" customFormat="1" x14ac:dyDescent="0.3">
      <c r="A164" s="47">
        <v>159</v>
      </c>
      <c r="B164" s="25" t="s">
        <v>185</v>
      </c>
      <c r="C164" s="25" t="s">
        <v>184</v>
      </c>
      <c r="D164" s="25" t="s">
        <v>404</v>
      </c>
      <c r="E164" s="25" t="s">
        <v>252</v>
      </c>
      <c r="F164" s="25" t="s">
        <v>450</v>
      </c>
      <c r="G164" s="25" t="s">
        <v>303</v>
      </c>
      <c r="H164" s="25">
        <v>274</v>
      </c>
      <c r="I164" s="25">
        <v>55</v>
      </c>
      <c r="J164" s="25">
        <v>301</v>
      </c>
      <c r="K164" s="25">
        <v>61</v>
      </c>
      <c r="L164" s="25">
        <v>2706</v>
      </c>
      <c r="M164" s="25">
        <v>453</v>
      </c>
      <c r="N164" s="25">
        <v>2706</v>
      </c>
      <c r="O164" s="25">
        <v>453</v>
      </c>
      <c r="P164" s="25">
        <v>2706</v>
      </c>
      <c r="Q164" s="25">
        <v>453</v>
      </c>
      <c r="R164" s="26">
        <f>IFERROR((Table4[[#This Row],[30.04.2025 Individus]]-Table4[[#This Row],[31.03.2025 Individus]])/Table4[[#This Row],[31.03.2025 Individus]],0)</f>
        <v>0</v>
      </c>
      <c r="S164" s="25">
        <f>Table4[[#This Row],[30.04.2025 Individus]]-Table4[[#This Row],[31.03.2025 Individus]]</f>
        <v>0</v>
      </c>
      <c r="T164" s="25" t="str">
        <f>IF(Table4[[#This Row],[Différence]]&lt;0,"Retournés","Déplacés")</f>
        <v>Déplacés</v>
      </c>
      <c r="U164" s="25" t="s">
        <v>754</v>
      </c>
      <c r="V164" s="25" t="str">
        <f>IF(Table4[[#This Row],[Evolution]]=0,"Non","Oui")</f>
        <v>Non</v>
      </c>
      <c r="W164" s="25" t="s">
        <v>755</v>
      </c>
      <c r="X164" s="42" t="s">
        <v>756</v>
      </c>
    </row>
    <row r="165" spans="1:24" s="9" customFormat="1" x14ac:dyDescent="0.3">
      <c r="A165" s="47">
        <v>160</v>
      </c>
      <c r="B165" s="25" t="s">
        <v>598</v>
      </c>
      <c r="C165" s="25" t="s">
        <v>597</v>
      </c>
      <c r="D165" s="25" t="s">
        <v>602</v>
      </c>
      <c r="E165" s="25" t="s">
        <v>140</v>
      </c>
      <c r="F165" s="25" t="s">
        <v>625</v>
      </c>
      <c r="G165" s="25" t="s">
        <v>146</v>
      </c>
      <c r="H165" s="25">
        <v>4575</v>
      </c>
      <c r="I165" s="25">
        <v>912</v>
      </c>
      <c r="J165" s="25">
        <v>4076</v>
      </c>
      <c r="K165" s="25">
        <v>790</v>
      </c>
      <c r="L165" s="25">
        <v>4076</v>
      </c>
      <c r="M165" s="25">
        <v>790</v>
      </c>
      <c r="N165" s="25">
        <v>4076</v>
      </c>
      <c r="O165" s="25">
        <v>790</v>
      </c>
      <c r="P165" s="25">
        <v>4076</v>
      </c>
      <c r="Q165" s="25">
        <v>790</v>
      </c>
      <c r="R165" s="26">
        <f>IFERROR((Table4[[#This Row],[30.04.2025 Individus]]-Table4[[#This Row],[31.03.2025 Individus]])/Table4[[#This Row],[31.03.2025 Individus]],0)</f>
        <v>0</v>
      </c>
      <c r="S165" s="25">
        <f>Table4[[#This Row],[30.04.2025 Individus]]-Table4[[#This Row],[31.03.2025 Individus]]</f>
        <v>0</v>
      </c>
      <c r="T165" s="25" t="str">
        <f>IF(Table4[[#This Row],[Différence]]&lt;0,"Retournés","Déplacés")</f>
        <v>Déplacés</v>
      </c>
      <c r="U165" s="25" t="s">
        <v>591</v>
      </c>
      <c r="V165" s="25" t="str">
        <f>IF(Table4[[#This Row],[Evolution]]=0,"Non","Oui")</f>
        <v>Non</v>
      </c>
      <c r="W165" s="25" t="s">
        <v>725</v>
      </c>
      <c r="X165" s="42" t="s">
        <v>197</v>
      </c>
    </row>
    <row r="166" spans="1:24" s="9" customFormat="1" x14ac:dyDescent="0.3">
      <c r="A166" s="47">
        <v>161</v>
      </c>
      <c r="B166" s="25" t="s">
        <v>598</v>
      </c>
      <c r="C166" s="25" t="s">
        <v>597</v>
      </c>
      <c r="D166" s="25" t="s">
        <v>602</v>
      </c>
      <c r="E166" s="25" t="s">
        <v>140</v>
      </c>
      <c r="F166" s="25" t="s">
        <v>617</v>
      </c>
      <c r="G166" s="25" t="s">
        <v>141</v>
      </c>
      <c r="H166" s="25">
        <v>8644</v>
      </c>
      <c r="I166" s="25">
        <v>1685</v>
      </c>
      <c r="J166" s="25">
        <v>9958</v>
      </c>
      <c r="K166" s="25">
        <v>1993</v>
      </c>
      <c r="L166" s="25">
        <v>9958</v>
      </c>
      <c r="M166" s="25">
        <v>1993</v>
      </c>
      <c r="N166" s="25">
        <v>9958</v>
      </c>
      <c r="O166" s="25">
        <v>1993</v>
      </c>
      <c r="P166" s="25">
        <v>9958</v>
      </c>
      <c r="Q166" s="25">
        <v>1993</v>
      </c>
      <c r="R166" s="26">
        <f>IFERROR((Table4[[#This Row],[30.04.2025 Individus]]-Table4[[#This Row],[31.03.2025 Individus]])/Table4[[#This Row],[31.03.2025 Individus]],0)</f>
        <v>0</v>
      </c>
      <c r="S166" s="25">
        <f>Table4[[#This Row],[30.04.2025 Individus]]-Table4[[#This Row],[31.03.2025 Individus]]</f>
        <v>0</v>
      </c>
      <c r="T166" s="25" t="str">
        <f>IF(Table4[[#This Row],[Différence]]&lt;0,"Retournés","Déplacés")</f>
        <v>Déplacés</v>
      </c>
      <c r="U166" s="25" t="s">
        <v>591</v>
      </c>
      <c r="V166" s="25" t="str">
        <f>IF(Table4[[#This Row],[Evolution]]=0,"Non","Oui")</f>
        <v>Non</v>
      </c>
      <c r="W166" s="25" t="s">
        <v>725</v>
      </c>
      <c r="X166" s="42" t="s">
        <v>197</v>
      </c>
    </row>
    <row r="167" spans="1:24" s="9" customFormat="1" x14ac:dyDescent="0.3">
      <c r="A167" s="47">
        <v>162</v>
      </c>
      <c r="B167" s="25" t="s">
        <v>598</v>
      </c>
      <c r="C167" s="25" t="s">
        <v>597</v>
      </c>
      <c r="D167" s="25" t="s">
        <v>603</v>
      </c>
      <c r="E167" s="25" t="s">
        <v>156</v>
      </c>
      <c r="F167" s="25" t="s">
        <v>621</v>
      </c>
      <c r="G167" s="25" t="s">
        <v>157</v>
      </c>
      <c r="H167" s="25">
        <v>5090</v>
      </c>
      <c r="I167" s="25">
        <v>1007</v>
      </c>
      <c r="J167" s="25">
        <v>5089</v>
      </c>
      <c r="K167" s="25">
        <v>1007</v>
      </c>
      <c r="L167" s="25">
        <v>5089</v>
      </c>
      <c r="M167" s="25">
        <v>1007</v>
      </c>
      <c r="N167" s="25">
        <v>5089</v>
      </c>
      <c r="O167" s="25">
        <v>1007</v>
      </c>
      <c r="P167" s="25">
        <v>5089</v>
      </c>
      <c r="Q167" s="25">
        <v>1007</v>
      </c>
      <c r="R167" s="26">
        <f>IFERROR((Table4[[#This Row],[30.04.2025 Individus]]-Table4[[#This Row],[31.03.2025 Individus]])/Table4[[#This Row],[31.03.2025 Individus]],0)</f>
        <v>0</v>
      </c>
      <c r="S167" s="25">
        <f>Table4[[#This Row],[30.04.2025 Individus]]-Table4[[#This Row],[31.03.2025 Individus]]</f>
        <v>0</v>
      </c>
      <c r="T167" s="25" t="str">
        <f>IF(Table4[[#This Row],[Différence]]&lt;0,"Retournés","Déplacés")</f>
        <v>Déplacés</v>
      </c>
      <c r="U167" s="25" t="s">
        <v>591</v>
      </c>
      <c r="V167" s="25" t="str">
        <f>IF(Table4[[#This Row],[Evolution]]=0,"Non","Oui")</f>
        <v>Non</v>
      </c>
      <c r="W167" s="25" t="s">
        <v>725</v>
      </c>
      <c r="X167" s="42" t="s">
        <v>197</v>
      </c>
    </row>
    <row r="168" spans="1:24" s="9" customFormat="1" x14ac:dyDescent="0.3">
      <c r="A168" s="47">
        <v>163</v>
      </c>
      <c r="B168" s="25" t="s">
        <v>598</v>
      </c>
      <c r="C168" s="25" t="s">
        <v>597</v>
      </c>
      <c r="D168" s="25" t="s">
        <v>603</v>
      </c>
      <c r="E168" s="25" t="s">
        <v>156</v>
      </c>
      <c r="F168" s="25" t="s">
        <v>623</v>
      </c>
      <c r="G168" s="25" t="s">
        <v>166</v>
      </c>
      <c r="H168" s="25">
        <v>3297</v>
      </c>
      <c r="I168" s="25">
        <v>750</v>
      </c>
      <c r="J168" s="25">
        <v>3297</v>
      </c>
      <c r="K168" s="25">
        <v>750</v>
      </c>
      <c r="L168" s="25">
        <v>3297</v>
      </c>
      <c r="M168" s="25">
        <v>750</v>
      </c>
      <c r="N168" s="25">
        <v>3297</v>
      </c>
      <c r="O168" s="25">
        <v>750</v>
      </c>
      <c r="P168" s="25">
        <v>3297</v>
      </c>
      <c r="Q168" s="25">
        <v>750</v>
      </c>
      <c r="R168" s="26">
        <f>IFERROR((Table4[[#This Row],[30.04.2025 Individus]]-Table4[[#This Row],[31.03.2025 Individus]])/Table4[[#This Row],[31.03.2025 Individus]],0)</f>
        <v>0</v>
      </c>
      <c r="S168" s="25">
        <f>Table4[[#This Row],[30.04.2025 Individus]]-Table4[[#This Row],[31.03.2025 Individus]]</f>
        <v>0</v>
      </c>
      <c r="T168" s="25" t="str">
        <f>IF(Table4[[#This Row],[Différence]]&lt;0,"Retournés","Déplacés")</f>
        <v>Déplacés</v>
      </c>
      <c r="U168" s="25" t="s">
        <v>591</v>
      </c>
      <c r="V168" s="25" t="str">
        <f>IF(Table4[[#This Row],[Evolution]]=0,"Non","Oui")</f>
        <v>Non</v>
      </c>
      <c r="W168" s="25" t="s">
        <v>725</v>
      </c>
      <c r="X168" s="42" t="s">
        <v>197</v>
      </c>
    </row>
    <row r="169" spans="1:24" s="9" customFormat="1" x14ac:dyDescent="0.3">
      <c r="A169" s="47">
        <v>164</v>
      </c>
      <c r="B169" s="25" t="s">
        <v>598</v>
      </c>
      <c r="C169" s="25" t="s">
        <v>597</v>
      </c>
      <c r="D169" s="25" t="s">
        <v>603</v>
      </c>
      <c r="E169" s="25" t="s">
        <v>156</v>
      </c>
      <c r="F169" s="25" t="s">
        <v>650</v>
      </c>
      <c r="G169" s="25" t="s">
        <v>378</v>
      </c>
      <c r="H169" s="25">
        <v>685</v>
      </c>
      <c r="I169" s="25">
        <v>135</v>
      </c>
      <c r="J169" s="25">
        <v>685</v>
      </c>
      <c r="K169" s="25">
        <v>135</v>
      </c>
      <c r="L169" s="25">
        <v>685</v>
      </c>
      <c r="M169" s="25">
        <v>135</v>
      </c>
      <c r="N169" s="25">
        <v>685</v>
      </c>
      <c r="O169" s="25">
        <v>135</v>
      </c>
      <c r="P169" s="25">
        <v>685</v>
      </c>
      <c r="Q169" s="25">
        <v>135</v>
      </c>
      <c r="R169" s="26">
        <f>IFERROR((Table4[[#This Row],[30.04.2025 Individus]]-Table4[[#This Row],[31.03.2025 Individus]])/Table4[[#This Row],[31.03.2025 Individus]],0)</f>
        <v>0</v>
      </c>
      <c r="S169" s="25">
        <f>Table4[[#This Row],[30.04.2025 Individus]]-Table4[[#This Row],[31.03.2025 Individus]]</f>
        <v>0</v>
      </c>
      <c r="T169" s="25" t="str">
        <f>IF(Table4[[#This Row],[Différence]]&lt;0,"Retournés","Déplacés")</f>
        <v>Déplacés</v>
      </c>
      <c r="U169" s="25" t="s">
        <v>591</v>
      </c>
      <c r="V169" s="25" t="str">
        <f>IF(Table4[[#This Row],[Evolution]]=0,"Non","Oui")</f>
        <v>Non</v>
      </c>
      <c r="W169" s="25" t="s">
        <v>725</v>
      </c>
      <c r="X169" s="42" t="s">
        <v>197</v>
      </c>
    </row>
    <row r="170" spans="1:24" s="9" customFormat="1" x14ac:dyDescent="0.3">
      <c r="A170" s="47">
        <v>165</v>
      </c>
      <c r="B170" s="25" t="s">
        <v>598</v>
      </c>
      <c r="C170" s="25" t="s">
        <v>597</v>
      </c>
      <c r="D170" s="25" t="s">
        <v>603</v>
      </c>
      <c r="E170" s="25" t="s">
        <v>156</v>
      </c>
      <c r="F170" s="25" t="s">
        <v>649</v>
      </c>
      <c r="G170" s="25" t="s">
        <v>377</v>
      </c>
      <c r="H170" s="25">
        <v>1685</v>
      </c>
      <c r="I170" s="25">
        <v>337</v>
      </c>
      <c r="J170" s="25">
        <v>1685</v>
      </c>
      <c r="K170" s="25">
        <v>337</v>
      </c>
      <c r="L170" s="25">
        <v>1685</v>
      </c>
      <c r="M170" s="25">
        <v>337</v>
      </c>
      <c r="N170" s="25">
        <v>1685</v>
      </c>
      <c r="O170" s="25">
        <v>337</v>
      </c>
      <c r="P170" s="25">
        <v>1685</v>
      </c>
      <c r="Q170" s="25">
        <v>337</v>
      </c>
      <c r="R170" s="26">
        <f>IFERROR((Table4[[#This Row],[30.04.2025 Individus]]-Table4[[#This Row],[31.03.2025 Individus]])/Table4[[#This Row],[31.03.2025 Individus]],0)</f>
        <v>0</v>
      </c>
      <c r="S170" s="25">
        <f>Table4[[#This Row],[30.04.2025 Individus]]-Table4[[#This Row],[31.03.2025 Individus]]</f>
        <v>0</v>
      </c>
      <c r="T170" s="25" t="str">
        <f>IF(Table4[[#This Row],[Différence]]&lt;0,"Retournés","Déplacés")</f>
        <v>Déplacés</v>
      </c>
      <c r="U170" s="25" t="s">
        <v>591</v>
      </c>
      <c r="V170" s="25" t="str">
        <f>IF(Table4[[#This Row],[Evolution]]=0,"Non","Oui")</f>
        <v>Non</v>
      </c>
      <c r="W170" s="25" t="s">
        <v>725</v>
      </c>
      <c r="X170" s="42" t="s">
        <v>197</v>
      </c>
    </row>
    <row r="171" spans="1:24" s="9" customFormat="1" x14ac:dyDescent="0.3">
      <c r="A171" s="47">
        <v>166</v>
      </c>
      <c r="B171" s="25" t="s">
        <v>598</v>
      </c>
      <c r="C171" s="25" t="s">
        <v>597</v>
      </c>
      <c r="D171" s="25" t="s">
        <v>601</v>
      </c>
      <c r="E171" s="25" t="s">
        <v>136</v>
      </c>
      <c r="F171" s="25" t="s">
        <v>620</v>
      </c>
      <c r="G171" s="25" t="s">
        <v>136</v>
      </c>
      <c r="H171" s="25">
        <v>13316</v>
      </c>
      <c r="I171" s="25">
        <v>3180</v>
      </c>
      <c r="J171" s="25">
        <v>15645</v>
      </c>
      <c r="K171" s="25">
        <v>3490</v>
      </c>
      <c r="L171" s="25">
        <v>15645</v>
      </c>
      <c r="M171" s="25">
        <v>3490</v>
      </c>
      <c r="N171" s="25">
        <v>15645</v>
      </c>
      <c r="O171" s="25">
        <v>3490</v>
      </c>
      <c r="P171" s="25">
        <v>15645</v>
      </c>
      <c r="Q171" s="25">
        <v>3490</v>
      </c>
      <c r="R171" s="26">
        <f>IFERROR((Table4[[#This Row],[30.04.2025 Individus]]-Table4[[#This Row],[31.03.2025 Individus]])/Table4[[#This Row],[31.03.2025 Individus]],0)</f>
        <v>0</v>
      </c>
      <c r="S171" s="25">
        <f>Table4[[#This Row],[30.04.2025 Individus]]-Table4[[#This Row],[31.03.2025 Individus]]</f>
        <v>0</v>
      </c>
      <c r="T171" s="25" t="str">
        <f>IF(Table4[[#This Row],[Différence]]&lt;0,"Retournés","Déplacés")</f>
        <v>Déplacés</v>
      </c>
      <c r="U171" s="25" t="s">
        <v>591</v>
      </c>
      <c r="V171" s="25" t="str">
        <f>IF(Table4[[#This Row],[Evolution]]=0,"Non","Oui")</f>
        <v>Non</v>
      </c>
      <c r="W171" s="25" t="s">
        <v>725</v>
      </c>
      <c r="X171" s="42" t="s">
        <v>197</v>
      </c>
    </row>
    <row r="172" spans="1:24" s="9" customFormat="1" x14ac:dyDescent="0.3">
      <c r="A172" s="47">
        <v>167</v>
      </c>
      <c r="B172" s="25" t="s">
        <v>598</v>
      </c>
      <c r="C172" s="25" t="s">
        <v>597</v>
      </c>
      <c r="D172" s="25" t="s">
        <v>601</v>
      </c>
      <c r="E172" s="25" t="s">
        <v>136</v>
      </c>
      <c r="F172" s="25" t="s">
        <v>648</v>
      </c>
      <c r="G172" s="25" t="s">
        <v>371</v>
      </c>
      <c r="H172" s="25">
        <v>4250</v>
      </c>
      <c r="I172" s="25">
        <v>850</v>
      </c>
      <c r="J172" s="25">
        <v>2081</v>
      </c>
      <c r="K172" s="25">
        <v>416</v>
      </c>
      <c r="L172" s="25">
        <v>2655</v>
      </c>
      <c r="M172" s="25">
        <v>531</v>
      </c>
      <c r="N172" s="25">
        <v>2655</v>
      </c>
      <c r="O172" s="25">
        <v>531</v>
      </c>
      <c r="P172" s="25">
        <v>2655</v>
      </c>
      <c r="Q172" s="25">
        <v>531</v>
      </c>
      <c r="R172" s="26">
        <f>IFERROR((Table4[[#This Row],[30.04.2025 Individus]]-Table4[[#This Row],[31.03.2025 Individus]])/Table4[[#This Row],[31.03.2025 Individus]],0)</f>
        <v>0</v>
      </c>
      <c r="S172" s="25">
        <f>Table4[[#This Row],[30.04.2025 Individus]]-Table4[[#This Row],[31.03.2025 Individus]]</f>
        <v>0</v>
      </c>
      <c r="T172" s="25" t="str">
        <f>IF(Table4[[#This Row],[Différence]]&lt;0,"Retournés","Déplacés")</f>
        <v>Déplacés</v>
      </c>
      <c r="U172" s="25" t="s">
        <v>754</v>
      </c>
      <c r="V172" s="25" t="str">
        <f>IF(Table4[[#This Row],[Evolution]]=0,"Non","Oui")</f>
        <v>Non</v>
      </c>
      <c r="W172" s="25" t="s">
        <v>758</v>
      </c>
      <c r="X172" s="42" t="s">
        <v>757</v>
      </c>
    </row>
    <row r="173" spans="1:24" s="9" customFormat="1" x14ac:dyDescent="0.3">
      <c r="A173" s="47">
        <v>168</v>
      </c>
      <c r="B173" s="25" t="s">
        <v>598</v>
      </c>
      <c r="C173" s="25" t="s">
        <v>597</v>
      </c>
      <c r="D173" s="25" t="s">
        <v>601</v>
      </c>
      <c r="E173" s="25" t="s">
        <v>136</v>
      </c>
      <c r="F173" s="25" t="s">
        <v>647</v>
      </c>
      <c r="G173" s="25" t="s">
        <v>370</v>
      </c>
      <c r="H173" s="25">
        <v>1245</v>
      </c>
      <c r="I173" s="25">
        <v>249</v>
      </c>
      <c r="J173" s="25">
        <v>1245</v>
      </c>
      <c r="K173" s="25">
        <v>249</v>
      </c>
      <c r="L173" s="25">
        <v>1245</v>
      </c>
      <c r="M173" s="25">
        <v>249</v>
      </c>
      <c r="N173" s="25">
        <v>1245</v>
      </c>
      <c r="O173" s="25">
        <v>249</v>
      </c>
      <c r="P173" s="25">
        <v>1245</v>
      </c>
      <c r="Q173" s="25">
        <v>249</v>
      </c>
      <c r="R173" s="26">
        <f>IFERROR((Table4[[#This Row],[30.04.2025 Individus]]-Table4[[#This Row],[31.03.2025 Individus]])/Table4[[#This Row],[31.03.2025 Individus]],0)</f>
        <v>0</v>
      </c>
      <c r="S173" s="25">
        <f>Table4[[#This Row],[30.04.2025 Individus]]-Table4[[#This Row],[31.03.2025 Individus]]</f>
        <v>0</v>
      </c>
      <c r="T173" s="25" t="str">
        <f>IF(Table4[[#This Row],[Différence]]&lt;0,"Retournés","Déplacés")</f>
        <v>Déplacés</v>
      </c>
      <c r="U173" s="25" t="s">
        <v>591</v>
      </c>
      <c r="V173" s="25" t="str">
        <f>IF(Table4[[#This Row],[Evolution]]=0,"Non","Oui")</f>
        <v>Non</v>
      </c>
      <c r="W173" s="25" t="s">
        <v>725</v>
      </c>
      <c r="X173" s="42" t="s">
        <v>197</v>
      </c>
    </row>
    <row r="174" spans="1:24" s="9" customFormat="1" x14ac:dyDescent="0.3">
      <c r="A174" s="47">
        <v>169</v>
      </c>
      <c r="B174" s="25" t="s">
        <v>598</v>
      </c>
      <c r="C174" s="25" t="s">
        <v>597</v>
      </c>
      <c r="D174" s="25" t="s">
        <v>601</v>
      </c>
      <c r="E174" s="25" t="s">
        <v>136</v>
      </c>
      <c r="F174" s="25" t="s">
        <v>624</v>
      </c>
      <c r="G174" s="25" t="s">
        <v>152</v>
      </c>
      <c r="H174" s="25">
        <v>2901</v>
      </c>
      <c r="I174" s="25">
        <v>583</v>
      </c>
      <c r="J174" s="25">
        <v>2898</v>
      </c>
      <c r="K174" s="25">
        <v>583</v>
      </c>
      <c r="L174" s="25">
        <v>2898</v>
      </c>
      <c r="M174" s="25">
        <v>583</v>
      </c>
      <c r="N174" s="25">
        <v>2898</v>
      </c>
      <c r="O174" s="25">
        <v>583</v>
      </c>
      <c r="P174" s="25">
        <v>2898</v>
      </c>
      <c r="Q174" s="25">
        <v>583</v>
      </c>
      <c r="R174" s="26">
        <f>IFERROR((Table4[[#This Row],[30.04.2025 Individus]]-Table4[[#This Row],[31.03.2025 Individus]])/Table4[[#This Row],[31.03.2025 Individus]],0)</f>
        <v>0</v>
      </c>
      <c r="S174" s="25">
        <f>Table4[[#This Row],[30.04.2025 Individus]]-Table4[[#This Row],[31.03.2025 Individus]]</f>
        <v>0</v>
      </c>
      <c r="T174" s="25" t="str">
        <f>IF(Table4[[#This Row],[Différence]]&lt;0,"Retournés","Déplacés")</f>
        <v>Déplacés</v>
      </c>
      <c r="U174" s="25" t="s">
        <v>591</v>
      </c>
      <c r="V174" s="25" t="str">
        <f>IF(Table4[[#This Row],[Evolution]]=0,"Non","Oui")</f>
        <v>Non</v>
      </c>
      <c r="W174" s="25" t="s">
        <v>725</v>
      </c>
      <c r="X174" s="42" t="s">
        <v>197</v>
      </c>
    </row>
    <row r="175" spans="1:24" s="9" customFormat="1" x14ac:dyDescent="0.3">
      <c r="A175" s="47">
        <v>170</v>
      </c>
      <c r="B175" s="25" t="s">
        <v>598</v>
      </c>
      <c r="C175" s="25" t="s">
        <v>597</v>
      </c>
      <c r="D175" s="25" t="s">
        <v>601</v>
      </c>
      <c r="E175" s="25" t="s">
        <v>136</v>
      </c>
      <c r="F175" s="25" t="s">
        <v>646</v>
      </c>
      <c r="G175" s="25" t="s">
        <v>369</v>
      </c>
      <c r="H175" s="25">
        <v>2575</v>
      </c>
      <c r="I175" s="25">
        <v>515</v>
      </c>
      <c r="J175" s="25">
        <v>515</v>
      </c>
      <c r="K175" s="25">
        <v>103</v>
      </c>
      <c r="L175" s="25">
        <v>515</v>
      </c>
      <c r="M175" s="25">
        <v>103</v>
      </c>
      <c r="N175" s="25">
        <v>515</v>
      </c>
      <c r="O175" s="25">
        <v>103</v>
      </c>
      <c r="P175" s="25">
        <v>515</v>
      </c>
      <c r="Q175" s="25">
        <v>103</v>
      </c>
      <c r="R175" s="26">
        <f>IFERROR((Table4[[#This Row],[30.04.2025 Individus]]-Table4[[#This Row],[31.03.2025 Individus]])/Table4[[#This Row],[31.03.2025 Individus]],0)</f>
        <v>0</v>
      </c>
      <c r="S175" s="25">
        <f>Table4[[#This Row],[30.04.2025 Individus]]-Table4[[#This Row],[31.03.2025 Individus]]</f>
        <v>0</v>
      </c>
      <c r="T175" s="25" t="str">
        <f>IF(Table4[[#This Row],[Différence]]&lt;0,"Retournés","Déplacés")</f>
        <v>Déplacés</v>
      </c>
      <c r="U175" s="25" t="s">
        <v>591</v>
      </c>
      <c r="V175" s="25" t="str">
        <f>IF(Table4[[#This Row],[Evolution]]=0,"Non","Oui")</f>
        <v>Non</v>
      </c>
      <c r="W175" s="25" t="s">
        <v>725</v>
      </c>
      <c r="X175" s="42" t="s">
        <v>197</v>
      </c>
    </row>
    <row r="176" spans="1:24" s="9" customFormat="1" x14ac:dyDescent="0.3">
      <c r="A176" s="47">
        <v>171</v>
      </c>
      <c r="B176" s="25" t="s">
        <v>598</v>
      </c>
      <c r="C176" s="25" t="s">
        <v>597</v>
      </c>
      <c r="D176" s="25" t="s">
        <v>677</v>
      </c>
      <c r="E176" s="25" t="s">
        <v>141</v>
      </c>
      <c r="F176" s="25" t="s">
        <v>622</v>
      </c>
      <c r="G176" s="25" t="s">
        <v>142</v>
      </c>
      <c r="H176" s="25">
        <v>2205</v>
      </c>
      <c r="I176" s="25">
        <v>398</v>
      </c>
      <c r="J176" s="25">
        <v>0</v>
      </c>
      <c r="K176" s="25">
        <v>0</v>
      </c>
      <c r="L176" s="25">
        <v>0</v>
      </c>
      <c r="M176" s="25">
        <v>0</v>
      </c>
      <c r="N176" s="25">
        <v>0</v>
      </c>
      <c r="O176" s="25">
        <v>0</v>
      </c>
      <c r="P176" s="25">
        <v>0</v>
      </c>
      <c r="Q176" s="25">
        <v>0</v>
      </c>
      <c r="R176" s="26">
        <f>IFERROR((Table4[[#This Row],[30.04.2025 Individus]]-Table4[[#This Row],[31.03.2025 Individus]])/Table4[[#This Row],[31.03.2025 Individus]],0)</f>
        <v>0</v>
      </c>
      <c r="S176" s="25">
        <f>Table4[[#This Row],[30.04.2025 Individus]]-Table4[[#This Row],[31.03.2025 Individus]]</f>
        <v>0</v>
      </c>
      <c r="T176" s="25" t="str">
        <f>IF(Table4[[#This Row],[Différence]]&lt;0,"Retournés","Déplacés")</f>
        <v>Déplacés</v>
      </c>
      <c r="U176" s="25" t="s">
        <v>591</v>
      </c>
      <c r="V176" s="25" t="str">
        <f>IF(Table4[[#This Row],[Evolution]]=0,"Non","Oui")</f>
        <v>Non</v>
      </c>
      <c r="W176" s="25" t="s">
        <v>725</v>
      </c>
      <c r="X176" s="42" t="s">
        <v>197</v>
      </c>
    </row>
    <row r="177" spans="1:24" s="9" customFormat="1" x14ac:dyDescent="0.3">
      <c r="A177" s="47">
        <v>172</v>
      </c>
      <c r="B177" s="25" t="s">
        <v>402</v>
      </c>
      <c r="C177" s="25" t="s">
        <v>250</v>
      </c>
      <c r="D177" s="25" t="s">
        <v>447</v>
      </c>
      <c r="E177" s="25" t="s">
        <v>300</v>
      </c>
      <c r="F177" s="25" t="s">
        <v>697</v>
      </c>
      <c r="G177" s="25" t="s">
        <v>300</v>
      </c>
      <c r="H177" s="25">
        <v>6525</v>
      </c>
      <c r="I177" s="25">
        <v>1295</v>
      </c>
      <c r="J177" s="25">
        <v>6525</v>
      </c>
      <c r="K177" s="25">
        <v>1295</v>
      </c>
      <c r="L177" s="25">
        <v>6522</v>
      </c>
      <c r="M177" s="25">
        <v>1294</v>
      </c>
      <c r="N177" s="25">
        <v>6522</v>
      </c>
      <c r="O177" s="25">
        <v>1294</v>
      </c>
      <c r="P177" s="25">
        <v>6522</v>
      </c>
      <c r="Q177" s="25">
        <v>1294</v>
      </c>
      <c r="R177" s="26">
        <f>IFERROR((Table4[[#This Row],[30.04.2025 Individus]]-Table4[[#This Row],[31.03.2025 Individus]])/Table4[[#This Row],[31.03.2025 Individus]],0)</f>
        <v>0</v>
      </c>
      <c r="S177" s="25">
        <f>Table4[[#This Row],[30.04.2025 Individus]]-Table4[[#This Row],[31.03.2025 Individus]]</f>
        <v>0</v>
      </c>
      <c r="T177" s="25" t="str">
        <f>IF(Table4[[#This Row],[Différence]]&lt;0,"Retournés","Déplacés")</f>
        <v>Déplacés</v>
      </c>
      <c r="U177" s="25" t="s">
        <v>591</v>
      </c>
      <c r="V177" s="25" t="str">
        <f>IF(Table4[[#This Row],[Evolution]]=0,"Non","Oui")</f>
        <v>Non</v>
      </c>
      <c r="W177" s="25" t="s">
        <v>725</v>
      </c>
      <c r="X177" s="42" t="s">
        <v>197</v>
      </c>
    </row>
    <row r="178" spans="1:24" s="9" customFormat="1" x14ac:dyDescent="0.3">
      <c r="A178" s="47">
        <v>173</v>
      </c>
      <c r="B178" s="25" t="s">
        <v>402</v>
      </c>
      <c r="C178" s="25" t="s">
        <v>250</v>
      </c>
      <c r="D178" s="25" t="s">
        <v>447</v>
      </c>
      <c r="E178" s="25" t="s">
        <v>300</v>
      </c>
      <c r="F178" s="25" t="s">
        <v>545</v>
      </c>
      <c r="G178" s="25" t="s">
        <v>393</v>
      </c>
      <c r="H178" s="25">
        <v>1325</v>
      </c>
      <c r="I178" s="25">
        <v>265</v>
      </c>
      <c r="J178" s="25">
        <v>1325</v>
      </c>
      <c r="K178" s="25">
        <v>265</v>
      </c>
      <c r="L178" s="25">
        <v>1325</v>
      </c>
      <c r="M178" s="25">
        <v>265</v>
      </c>
      <c r="N178" s="25">
        <v>1325</v>
      </c>
      <c r="O178" s="25">
        <v>265</v>
      </c>
      <c r="P178" s="25">
        <v>1325</v>
      </c>
      <c r="Q178" s="25">
        <v>265</v>
      </c>
      <c r="R178" s="26">
        <f>IFERROR((Table4[[#This Row],[30.04.2025 Individus]]-Table4[[#This Row],[31.03.2025 Individus]])/Table4[[#This Row],[31.03.2025 Individus]],0)</f>
        <v>0</v>
      </c>
      <c r="S178" s="25">
        <f>Table4[[#This Row],[30.04.2025 Individus]]-Table4[[#This Row],[31.03.2025 Individus]]</f>
        <v>0</v>
      </c>
      <c r="T178" s="25" t="str">
        <f>IF(Table4[[#This Row],[Différence]]&lt;0,"Retournés","Déplacés")</f>
        <v>Déplacés</v>
      </c>
      <c r="U178" s="25" t="s">
        <v>591</v>
      </c>
      <c r="V178" s="25" t="str">
        <f>IF(Table4[[#This Row],[Evolution]]=0,"Non","Oui")</f>
        <v>Non</v>
      </c>
      <c r="W178" s="25" t="s">
        <v>725</v>
      </c>
      <c r="X178" s="42" t="s">
        <v>197</v>
      </c>
    </row>
    <row r="179" spans="1:24" s="9" customFormat="1" x14ac:dyDescent="0.3">
      <c r="A179" s="47">
        <v>174</v>
      </c>
      <c r="B179" s="25" t="s">
        <v>402</v>
      </c>
      <c r="C179" s="25" t="s">
        <v>250</v>
      </c>
      <c r="D179" s="25" t="s">
        <v>447</v>
      </c>
      <c r="E179" s="25" t="s">
        <v>300</v>
      </c>
      <c r="F179" s="25" t="s">
        <v>546</v>
      </c>
      <c r="G179" s="25" t="s">
        <v>394</v>
      </c>
      <c r="H179" s="25">
        <v>735</v>
      </c>
      <c r="I179" s="25">
        <v>147</v>
      </c>
      <c r="J179" s="25">
        <v>735</v>
      </c>
      <c r="K179" s="25">
        <v>147</v>
      </c>
      <c r="L179" s="25">
        <v>735</v>
      </c>
      <c r="M179" s="25">
        <v>147</v>
      </c>
      <c r="N179" s="25">
        <v>735</v>
      </c>
      <c r="O179" s="25">
        <v>147</v>
      </c>
      <c r="P179" s="25">
        <v>735</v>
      </c>
      <c r="Q179" s="25">
        <v>147</v>
      </c>
      <c r="R179" s="26">
        <f>IFERROR((Table4[[#This Row],[30.04.2025 Individus]]-Table4[[#This Row],[31.03.2025 Individus]])/Table4[[#This Row],[31.03.2025 Individus]],0)</f>
        <v>0</v>
      </c>
      <c r="S179" s="25">
        <f>Table4[[#This Row],[30.04.2025 Individus]]-Table4[[#This Row],[31.03.2025 Individus]]</f>
        <v>0</v>
      </c>
      <c r="T179" s="25" t="str">
        <f>IF(Table4[[#This Row],[Différence]]&lt;0,"Retournés","Déplacés")</f>
        <v>Déplacés</v>
      </c>
      <c r="U179" s="25" t="s">
        <v>591</v>
      </c>
      <c r="V179" s="25" t="str">
        <f>IF(Table4[[#This Row],[Evolution]]=0,"Non","Oui")</f>
        <v>Non</v>
      </c>
      <c r="W179" s="25" t="s">
        <v>725</v>
      </c>
      <c r="X179" s="42" t="s">
        <v>197</v>
      </c>
    </row>
    <row r="180" spans="1:24" s="9" customFormat="1" x14ac:dyDescent="0.3">
      <c r="A180" s="47">
        <v>175</v>
      </c>
      <c r="B180" s="25" t="s">
        <v>402</v>
      </c>
      <c r="C180" s="25" t="s">
        <v>250</v>
      </c>
      <c r="D180" s="25" t="s">
        <v>445</v>
      </c>
      <c r="E180" s="25" t="s">
        <v>298</v>
      </c>
      <c r="F180" s="25" t="s">
        <v>628</v>
      </c>
      <c r="G180" s="25" t="s">
        <v>633</v>
      </c>
      <c r="H180" s="25">
        <v>1584</v>
      </c>
      <c r="I180" s="25">
        <v>311</v>
      </c>
      <c r="J180" s="25">
        <v>1584</v>
      </c>
      <c r="K180" s="25">
        <v>311</v>
      </c>
      <c r="L180" s="25">
        <v>1584</v>
      </c>
      <c r="M180" s="25">
        <v>311</v>
      </c>
      <c r="N180" s="25">
        <v>1584</v>
      </c>
      <c r="O180" s="25">
        <v>311</v>
      </c>
      <c r="P180" s="25">
        <v>1584</v>
      </c>
      <c r="Q180" s="25">
        <v>311</v>
      </c>
      <c r="R180" s="26">
        <f>IFERROR((Table4[[#This Row],[30.04.2025 Individus]]-Table4[[#This Row],[31.03.2025 Individus]])/Table4[[#This Row],[31.03.2025 Individus]],0)</f>
        <v>0</v>
      </c>
      <c r="S180" s="25">
        <f>Table4[[#This Row],[30.04.2025 Individus]]-Table4[[#This Row],[31.03.2025 Individus]]</f>
        <v>0</v>
      </c>
      <c r="T180" s="25" t="str">
        <f>IF(Table4[[#This Row],[Différence]]&lt;0,"Retournés","Déplacés")</f>
        <v>Déplacés</v>
      </c>
      <c r="U180" s="25" t="s">
        <v>591</v>
      </c>
      <c r="V180" s="25" t="str">
        <f>IF(Table4[[#This Row],[Evolution]]=0,"Non","Oui")</f>
        <v>Non</v>
      </c>
      <c r="W180" s="25" t="s">
        <v>725</v>
      </c>
      <c r="X180" s="42" t="s">
        <v>197</v>
      </c>
    </row>
    <row r="181" spans="1:24" s="9" customFormat="1" x14ac:dyDescent="0.3">
      <c r="A181" s="47">
        <v>176</v>
      </c>
      <c r="B181" s="25" t="s">
        <v>402</v>
      </c>
      <c r="C181" s="25" t="s">
        <v>250</v>
      </c>
      <c r="D181" s="25" t="s">
        <v>446</v>
      </c>
      <c r="E181" s="25" t="s">
        <v>299</v>
      </c>
      <c r="F181" s="25" t="s">
        <v>629</v>
      </c>
      <c r="G181" s="25" t="s">
        <v>634</v>
      </c>
      <c r="H181" s="25">
        <v>1393</v>
      </c>
      <c r="I181" s="25">
        <v>272</v>
      </c>
      <c r="J181" s="25">
        <v>1393</v>
      </c>
      <c r="K181" s="25">
        <v>272</v>
      </c>
      <c r="L181" s="25">
        <v>1393</v>
      </c>
      <c r="M181" s="25">
        <v>272</v>
      </c>
      <c r="N181" s="25">
        <v>1393</v>
      </c>
      <c r="O181" s="25">
        <v>272</v>
      </c>
      <c r="P181" s="25">
        <v>1393</v>
      </c>
      <c r="Q181" s="25">
        <v>272</v>
      </c>
      <c r="R181" s="26">
        <f>IFERROR((Table4[[#This Row],[30.04.2025 Individus]]-Table4[[#This Row],[31.03.2025 Individus]])/Table4[[#This Row],[31.03.2025 Individus]],0)</f>
        <v>0</v>
      </c>
      <c r="S181" s="25">
        <f>Table4[[#This Row],[30.04.2025 Individus]]-Table4[[#This Row],[31.03.2025 Individus]]</f>
        <v>0</v>
      </c>
      <c r="T181" s="25" t="str">
        <f>IF(Table4[[#This Row],[Différence]]&lt;0,"Retournés","Déplacés")</f>
        <v>Déplacés</v>
      </c>
      <c r="U181" s="25" t="s">
        <v>591</v>
      </c>
      <c r="V181" s="25" t="str">
        <f>IF(Table4[[#This Row],[Evolution]]=0,"Non","Oui")</f>
        <v>Non</v>
      </c>
      <c r="W181" s="25" t="s">
        <v>725</v>
      </c>
      <c r="X181" s="42" t="s">
        <v>197</v>
      </c>
    </row>
    <row r="182" spans="1:24" s="9" customFormat="1" x14ac:dyDescent="0.3">
      <c r="A182" s="47">
        <v>177</v>
      </c>
      <c r="B182" s="25" t="s">
        <v>189</v>
      </c>
      <c r="C182" s="25" t="s">
        <v>188</v>
      </c>
      <c r="D182" s="25" t="s">
        <v>191</v>
      </c>
      <c r="E182" s="25" t="s">
        <v>190</v>
      </c>
      <c r="F182" s="25" t="s">
        <v>547</v>
      </c>
      <c r="G182" s="25" t="s">
        <v>395</v>
      </c>
      <c r="H182" s="25">
        <v>1501</v>
      </c>
      <c r="I182" s="25">
        <v>333</v>
      </c>
      <c r="J182" s="25">
        <v>1254</v>
      </c>
      <c r="K182" s="25">
        <v>241</v>
      </c>
      <c r="L182" s="25">
        <v>1254</v>
      </c>
      <c r="M182" s="25">
        <v>241</v>
      </c>
      <c r="N182" s="25">
        <v>1254</v>
      </c>
      <c r="O182" s="25">
        <v>241</v>
      </c>
      <c r="P182" s="25">
        <v>1254</v>
      </c>
      <c r="Q182" s="25">
        <v>241</v>
      </c>
      <c r="R182" s="26">
        <f>IFERROR((Table4[[#This Row],[30.04.2025 Individus]]-Table4[[#This Row],[31.03.2025 Individus]])/Table4[[#This Row],[31.03.2025 Individus]],0)</f>
        <v>0</v>
      </c>
      <c r="S182" s="25">
        <f>Table4[[#This Row],[30.04.2025 Individus]]-Table4[[#This Row],[31.03.2025 Individus]]</f>
        <v>0</v>
      </c>
      <c r="T182" s="25" t="str">
        <f>IF(Table4[[#This Row],[Différence]]&lt;0,"Retournés","Déplacés")</f>
        <v>Déplacés</v>
      </c>
      <c r="U182" s="25" t="s">
        <v>591</v>
      </c>
      <c r="V182" s="25" t="str">
        <f>IF(Table4[[#This Row],[Evolution]]=0,"Non","Oui")</f>
        <v>Non</v>
      </c>
      <c r="W182" s="25" t="s">
        <v>725</v>
      </c>
      <c r="X182" s="42" t="s">
        <v>197</v>
      </c>
    </row>
    <row r="183" spans="1:24" s="9" customFormat="1" x14ac:dyDescent="0.3">
      <c r="A183" s="47">
        <v>178</v>
      </c>
      <c r="B183" s="25" t="s">
        <v>189</v>
      </c>
      <c r="C183" s="25" t="s">
        <v>188</v>
      </c>
      <c r="D183" s="25" t="s">
        <v>679</v>
      </c>
      <c r="E183" s="25" t="s">
        <v>396</v>
      </c>
      <c r="F183" s="25" t="s">
        <v>663</v>
      </c>
      <c r="G183" s="25" t="s">
        <v>396</v>
      </c>
      <c r="H183" s="25">
        <v>2635</v>
      </c>
      <c r="I183" s="25">
        <v>504</v>
      </c>
      <c r="J183" s="25">
        <v>2500</v>
      </c>
      <c r="K183" s="25">
        <v>477</v>
      </c>
      <c r="L183" s="25">
        <v>2500</v>
      </c>
      <c r="M183" s="25">
        <v>477</v>
      </c>
      <c r="N183" s="25">
        <v>2500</v>
      </c>
      <c r="O183" s="25">
        <v>477</v>
      </c>
      <c r="P183" s="25">
        <v>2500</v>
      </c>
      <c r="Q183" s="25">
        <v>477</v>
      </c>
      <c r="R183" s="26">
        <f>IFERROR((Table4[[#This Row],[30.04.2025 Individus]]-Table4[[#This Row],[31.03.2025 Individus]])/Table4[[#This Row],[31.03.2025 Individus]],0)</f>
        <v>0</v>
      </c>
      <c r="S183" s="25">
        <f>Table4[[#This Row],[30.04.2025 Individus]]-Table4[[#This Row],[31.03.2025 Individus]]</f>
        <v>0</v>
      </c>
      <c r="T183" s="25" t="str">
        <f>IF(Table4[[#This Row],[Différence]]&lt;0,"Retournés","Déplacés")</f>
        <v>Déplacés</v>
      </c>
      <c r="U183" s="25" t="s">
        <v>591</v>
      </c>
      <c r="V183" s="25" t="str">
        <f>IF(Table4[[#This Row],[Evolution]]=0,"Non","Oui")</f>
        <v>Non</v>
      </c>
      <c r="W183" s="25" t="s">
        <v>725</v>
      </c>
      <c r="X183" s="42" t="s">
        <v>197</v>
      </c>
    </row>
    <row r="184" spans="1:24" s="9" customFormat="1" x14ac:dyDescent="0.3">
      <c r="A184" s="47">
        <v>179</v>
      </c>
      <c r="B184" s="25" t="s">
        <v>189</v>
      </c>
      <c r="C184" s="25" t="s">
        <v>188</v>
      </c>
      <c r="D184" s="25" t="s">
        <v>448</v>
      </c>
      <c r="E184" s="25" t="s">
        <v>301</v>
      </c>
      <c r="F184" s="25" t="s">
        <v>548</v>
      </c>
      <c r="G184" s="25" t="s">
        <v>397</v>
      </c>
      <c r="H184" s="25">
        <v>455</v>
      </c>
      <c r="I184" s="25">
        <v>91</v>
      </c>
      <c r="J184" s="25">
        <v>345</v>
      </c>
      <c r="K184" s="25">
        <v>69</v>
      </c>
      <c r="L184" s="25">
        <v>345</v>
      </c>
      <c r="M184" s="25">
        <v>69</v>
      </c>
      <c r="N184" s="25">
        <v>345</v>
      </c>
      <c r="O184" s="25">
        <v>69</v>
      </c>
      <c r="P184" s="25">
        <v>345</v>
      </c>
      <c r="Q184" s="25">
        <v>69</v>
      </c>
      <c r="R184" s="26">
        <f>IFERROR((Table4[[#This Row],[30.04.2025 Individus]]-Table4[[#This Row],[31.03.2025 Individus]])/Table4[[#This Row],[31.03.2025 Individus]],0)</f>
        <v>0</v>
      </c>
      <c r="S184" s="25">
        <f>Table4[[#This Row],[30.04.2025 Individus]]-Table4[[#This Row],[31.03.2025 Individus]]</f>
        <v>0</v>
      </c>
      <c r="T184" s="25" t="str">
        <f>IF(Table4[[#This Row],[Différence]]&lt;0,"Retournés","Déplacés")</f>
        <v>Déplacés</v>
      </c>
      <c r="U184" s="25" t="s">
        <v>591</v>
      </c>
      <c r="V184" s="25" t="str">
        <f>IF(Table4[[#This Row],[Evolution]]=0,"Non","Oui")</f>
        <v>Non</v>
      </c>
      <c r="W184" s="25" t="s">
        <v>725</v>
      </c>
      <c r="X184" s="42" t="s">
        <v>197</v>
      </c>
    </row>
    <row r="185" spans="1:24" s="9" customFormat="1" x14ac:dyDescent="0.3">
      <c r="A185" s="90">
        <v>180</v>
      </c>
      <c r="B185" s="91" t="s">
        <v>189</v>
      </c>
      <c r="C185" s="91" t="s">
        <v>188</v>
      </c>
      <c r="D185" s="91" t="s">
        <v>668</v>
      </c>
      <c r="E185" s="91" t="s">
        <v>669</v>
      </c>
      <c r="F185" s="91" t="s">
        <v>683</v>
      </c>
      <c r="G185" s="91" t="s">
        <v>669</v>
      </c>
      <c r="H185" s="91">
        <v>0</v>
      </c>
      <c r="I185" s="91">
        <v>0</v>
      </c>
      <c r="J185" s="91">
        <v>0</v>
      </c>
      <c r="K185" s="91">
        <v>0</v>
      </c>
      <c r="L185" s="91">
        <v>0</v>
      </c>
      <c r="M185" s="91">
        <v>0</v>
      </c>
      <c r="N185" s="91">
        <v>0</v>
      </c>
      <c r="O185" s="91">
        <v>0</v>
      </c>
      <c r="P185" s="91">
        <v>0</v>
      </c>
      <c r="Q185" s="91">
        <v>0</v>
      </c>
      <c r="R185" s="92">
        <f>IFERROR((Table4[[#This Row],[30.04.2025 Individus]]-Table4[[#This Row],[31.03.2025 Individus]])/Table4[[#This Row],[31.03.2025 Individus]],0)</f>
        <v>0</v>
      </c>
      <c r="S185" s="91">
        <f>Table4[[#This Row],[30.04.2025 Individus]]-Table4[[#This Row],[31.03.2025 Individus]]</f>
        <v>0</v>
      </c>
      <c r="T185" s="91" t="str">
        <f>IF(Table4[[#This Row],[Différence]]&lt;0,"Retournés","Déplacés")</f>
        <v>Déplacés</v>
      </c>
      <c r="U185" s="25" t="s">
        <v>591</v>
      </c>
      <c r="V185" s="91" t="str">
        <f>IF(Table4[[#This Row],[Evolution]]=0,"Non","Oui")</f>
        <v>Non</v>
      </c>
      <c r="W185" s="25" t="s">
        <v>725</v>
      </c>
      <c r="X185" s="42" t="s">
        <v>197</v>
      </c>
    </row>
    <row r="187" spans="1:24" s="20" customFormat="1" x14ac:dyDescent="0.3">
      <c r="A187" s="48" t="s">
        <v>724</v>
      </c>
      <c r="B187" s="19"/>
      <c r="C187" s="19"/>
      <c r="D187" s="19"/>
      <c r="E187" s="19"/>
      <c r="F187" s="19"/>
      <c r="G187" s="19"/>
      <c r="H187" s="19">
        <f>SUBTOTAL(9,Table4[31.12.2024 Individus])</f>
        <v>392235</v>
      </c>
      <c r="I187" s="19">
        <f>SUBTOTAL(9,Table4[31.12.2024 Ménages])</f>
        <v>79264</v>
      </c>
      <c r="J187" s="19">
        <f>SUBTOTAL(9,Table4[31.01.2025 Individus])</f>
        <v>362947</v>
      </c>
      <c r="K187" s="19">
        <f>SUBTOTAL(9,Table4[31.01.2025 Ménages])</f>
        <v>74880</v>
      </c>
      <c r="L187" s="19">
        <f>SUBTOTAL(9,Table4[28.02.2025 Individus])</f>
        <v>367951</v>
      </c>
      <c r="M187" s="19">
        <f>SUBTOTAL(9,Table4[28.02.2025 Ménages])</f>
        <v>75848</v>
      </c>
      <c r="N187" s="19">
        <f>SUBTOTAL(9,Table4[31.03.2025 Individus])</f>
        <v>366503</v>
      </c>
      <c r="O187" s="19">
        <f>SUBTOTAL(9,Table4[31.03.2025 Ménages])</f>
        <v>76474</v>
      </c>
      <c r="P187" s="19">
        <f>SUBTOTAL(9,Table4[30.04.2025 Individus])</f>
        <v>368407</v>
      </c>
      <c r="Q187" s="19">
        <f>SUBTOTAL(9,Table4[30.04.2025 Ménages])</f>
        <v>76836</v>
      </c>
      <c r="R187" s="19"/>
      <c r="S187" s="19"/>
      <c r="T187" s="19"/>
      <c r="U187" s="19"/>
      <c r="V187" s="19"/>
      <c r="W187" s="19"/>
      <c r="X187" s="19"/>
    </row>
    <row r="188" spans="1:24" x14ac:dyDescent="0.3">
      <c r="A188" s="49"/>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sheetData>
  <conditionalFormatting sqref="R6:R185">
    <cfRule type="colorScale" priority="3">
      <colorScale>
        <cfvo type="min"/>
        <cfvo type="percentile" val="50"/>
        <cfvo type="max"/>
        <color rgb="FF63BE7B"/>
        <color rgb="FFFCE4D6"/>
        <color rgb="FFF8696B"/>
      </colorScale>
    </cfRule>
  </conditionalFormatting>
  <conditionalFormatting sqref="V6:V185">
    <cfRule type="containsText" dxfId="1" priority="1" operator="containsText" text="Non">
      <formula>NOT(ISERROR(SEARCH("Non",V6)))</formula>
    </cfRule>
    <cfRule type="containsText" dxfId="0" priority="2" operator="containsText" text="Oui">
      <formula>NOT(ISERROR(SEARCH("Oui",V6)))</formula>
    </cfRule>
  </conditionalFormatting>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00AE-C56E-460D-8D97-1B3326D6EBEF}">
  <dimension ref="A3:C24"/>
  <sheetViews>
    <sheetView workbookViewId="0">
      <selection activeCell="A3" sqref="A3:D24"/>
    </sheetView>
  </sheetViews>
  <sheetFormatPr defaultRowHeight="14" x14ac:dyDescent="0.3"/>
  <cols>
    <col min="1" max="1" width="17.25" bestFit="1" customWidth="1"/>
    <col min="2" max="2" width="29.58203125" bestFit="1" customWidth="1"/>
    <col min="3" max="3" width="19.58203125" bestFit="1" customWidth="1"/>
    <col min="4" max="4" width="18.83203125" bestFit="1" customWidth="1"/>
  </cols>
  <sheetData>
    <row r="3" spans="1:3" x14ac:dyDescent="0.3">
      <c r="A3" s="53" t="s">
        <v>739</v>
      </c>
      <c r="B3" t="s">
        <v>741</v>
      </c>
      <c r="C3" t="s">
        <v>742</v>
      </c>
    </row>
    <row r="4" spans="1:3" x14ac:dyDescent="0.3">
      <c r="A4" s="50" t="s">
        <v>1</v>
      </c>
      <c r="B4" s="54">
        <v>5732</v>
      </c>
      <c r="C4" s="54">
        <v>5897</v>
      </c>
    </row>
    <row r="5" spans="1:3" x14ac:dyDescent="0.3">
      <c r="A5" s="50" t="s">
        <v>13</v>
      </c>
      <c r="B5" s="54">
        <v>89641</v>
      </c>
      <c r="C5" s="54">
        <v>90550</v>
      </c>
    </row>
    <row r="6" spans="1:3" x14ac:dyDescent="0.3">
      <c r="A6" s="50" t="s">
        <v>18</v>
      </c>
      <c r="B6" s="54">
        <v>21726</v>
      </c>
      <c r="C6" s="54">
        <v>32298</v>
      </c>
    </row>
    <row r="7" spans="1:3" x14ac:dyDescent="0.3">
      <c r="A7" s="50" t="s">
        <v>30</v>
      </c>
      <c r="B7" s="54">
        <v>12127</v>
      </c>
      <c r="C7" s="54">
        <v>21838</v>
      </c>
    </row>
    <row r="8" spans="1:3" x14ac:dyDescent="0.3">
      <c r="A8" s="50" t="s">
        <v>37</v>
      </c>
      <c r="B8" s="54">
        <v>4769</v>
      </c>
      <c r="C8" s="54">
        <v>17179</v>
      </c>
    </row>
    <row r="9" spans="1:3" x14ac:dyDescent="0.3">
      <c r="A9" s="50" t="s">
        <v>246</v>
      </c>
      <c r="B9" s="54">
        <v>11530</v>
      </c>
      <c r="C9" s="54">
        <v>11530</v>
      </c>
    </row>
    <row r="10" spans="1:3" x14ac:dyDescent="0.3">
      <c r="A10" s="50" t="s">
        <v>604</v>
      </c>
      <c r="B10" s="54">
        <v>2803</v>
      </c>
      <c r="C10" s="54">
        <v>2803</v>
      </c>
    </row>
    <row r="11" spans="1:3" x14ac:dyDescent="0.3">
      <c r="A11" s="50" t="s">
        <v>247</v>
      </c>
      <c r="B11" s="54">
        <v>4389</v>
      </c>
      <c r="C11" s="54">
        <v>4389</v>
      </c>
    </row>
    <row r="12" spans="1:3" x14ac:dyDescent="0.3">
      <c r="A12" s="50" t="s">
        <v>606</v>
      </c>
      <c r="B12" s="54">
        <v>2879</v>
      </c>
      <c r="C12" s="54">
        <v>2879</v>
      </c>
    </row>
    <row r="13" spans="1:3" x14ac:dyDescent="0.3">
      <c r="A13" s="50" t="s">
        <v>248</v>
      </c>
      <c r="B13" s="54">
        <v>11549</v>
      </c>
      <c r="C13" s="54">
        <v>11549</v>
      </c>
    </row>
    <row r="14" spans="1:3" x14ac:dyDescent="0.3">
      <c r="A14" s="50" t="s">
        <v>58</v>
      </c>
      <c r="B14" s="54">
        <v>4957</v>
      </c>
      <c r="C14" s="54">
        <v>11624</v>
      </c>
    </row>
    <row r="15" spans="1:3" x14ac:dyDescent="0.3">
      <c r="A15" s="50" t="s">
        <v>75</v>
      </c>
      <c r="B15" s="54">
        <v>9593</v>
      </c>
      <c r="C15" s="54">
        <v>16331</v>
      </c>
    </row>
    <row r="16" spans="1:3" x14ac:dyDescent="0.3">
      <c r="A16" s="50" t="s">
        <v>249</v>
      </c>
      <c r="B16" s="54">
        <v>20090</v>
      </c>
      <c r="C16" s="54">
        <v>20090</v>
      </c>
    </row>
    <row r="17" spans="1:3" x14ac:dyDescent="0.3">
      <c r="A17" s="50" t="s">
        <v>96</v>
      </c>
      <c r="B17" s="54">
        <v>21369</v>
      </c>
      <c r="C17" s="54">
        <v>21369</v>
      </c>
    </row>
    <row r="18" spans="1:3" x14ac:dyDescent="0.3">
      <c r="A18" s="50" t="s">
        <v>103</v>
      </c>
      <c r="B18" s="54">
        <v>38674</v>
      </c>
      <c r="C18" s="54">
        <v>50119</v>
      </c>
    </row>
    <row r="19" spans="1:3" x14ac:dyDescent="0.3">
      <c r="A19" s="50" t="s">
        <v>134</v>
      </c>
      <c r="B19" s="54">
        <v>33435</v>
      </c>
      <c r="C19" s="54">
        <v>33435</v>
      </c>
    </row>
    <row r="20" spans="1:3" x14ac:dyDescent="0.3">
      <c r="A20" s="50" t="s">
        <v>184</v>
      </c>
      <c r="B20" s="54">
        <v>9738</v>
      </c>
      <c r="C20" s="54">
        <v>14911</v>
      </c>
    </row>
    <row r="21" spans="1:3" x14ac:dyDescent="0.3">
      <c r="A21" s="50" t="s">
        <v>597</v>
      </c>
      <c r="B21" s="54">
        <v>47748</v>
      </c>
      <c r="C21" s="54">
        <v>58720</v>
      </c>
    </row>
    <row r="22" spans="1:3" x14ac:dyDescent="0.3">
      <c r="A22" s="50" t="s">
        <v>250</v>
      </c>
      <c r="B22" s="54">
        <v>11559</v>
      </c>
      <c r="C22" s="54">
        <v>11559</v>
      </c>
    </row>
    <row r="23" spans="1:3" x14ac:dyDescent="0.3">
      <c r="A23" s="50" t="s">
        <v>188</v>
      </c>
      <c r="B23" s="54">
        <v>4099</v>
      </c>
      <c r="C23" s="54">
        <v>5149</v>
      </c>
    </row>
    <row r="24" spans="1:3" x14ac:dyDescent="0.3">
      <c r="A24" s="50" t="s">
        <v>740</v>
      </c>
      <c r="B24" s="54">
        <v>368407</v>
      </c>
      <c r="C24" s="54">
        <v>444219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7BE62-C276-4413-B194-A1AF57CBAA62}">
  <dimension ref="A3:D24"/>
  <sheetViews>
    <sheetView workbookViewId="0">
      <selection activeCell="A3" sqref="A3:D23"/>
    </sheetView>
  </sheetViews>
  <sheetFormatPr defaultRowHeight="14" x14ac:dyDescent="0.3"/>
  <cols>
    <col min="1" max="1" width="17.25" bestFit="1" customWidth="1"/>
    <col min="2" max="2" width="24.33203125" bestFit="1" customWidth="1"/>
    <col min="3" max="3" width="29.58203125" bestFit="1" customWidth="1"/>
    <col min="4" max="4" width="19.58203125" bestFit="1" customWidth="1"/>
  </cols>
  <sheetData>
    <row r="3" spans="1:4" x14ac:dyDescent="0.3">
      <c r="A3" s="53" t="s">
        <v>739</v>
      </c>
      <c r="B3" t="s">
        <v>835</v>
      </c>
      <c r="C3" t="s">
        <v>741</v>
      </c>
      <c r="D3" t="s">
        <v>742</v>
      </c>
    </row>
    <row r="4" spans="1:4" x14ac:dyDescent="0.3">
      <c r="A4" s="50" t="s">
        <v>1</v>
      </c>
      <c r="B4" s="54">
        <v>165</v>
      </c>
      <c r="C4" s="54">
        <v>5732</v>
      </c>
      <c r="D4" s="54">
        <v>5897</v>
      </c>
    </row>
    <row r="5" spans="1:4" x14ac:dyDescent="0.3">
      <c r="A5" s="50" t="s">
        <v>13</v>
      </c>
      <c r="B5" s="54">
        <v>909</v>
      </c>
      <c r="C5" s="54">
        <v>89641</v>
      </c>
      <c r="D5" s="54">
        <v>90550</v>
      </c>
    </row>
    <row r="6" spans="1:4" x14ac:dyDescent="0.3">
      <c r="A6" s="50" t="s">
        <v>18</v>
      </c>
      <c r="B6" s="54">
        <v>10572</v>
      </c>
      <c r="C6" s="54">
        <v>21726</v>
      </c>
      <c r="D6" s="54">
        <v>32298</v>
      </c>
    </row>
    <row r="7" spans="1:4" x14ac:dyDescent="0.3">
      <c r="A7" s="50" t="s">
        <v>30</v>
      </c>
      <c r="B7" s="54">
        <v>9711</v>
      </c>
      <c r="C7" s="54">
        <v>12127</v>
      </c>
      <c r="D7" s="54">
        <v>21838</v>
      </c>
    </row>
    <row r="8" spans="1:4" x14ac:dyDescent="0.3">
      <c r="A8" s="50" t="s">
        <v>37</v>
      </c>
      <c r="B8" s="54">
        <v>12410</v>
      </c>
      <c r="C8" s="54">
        <v>4769</v>
      </c>
      <c r="D8" s="54">
        <v>17179</v>
      </c>
    </row>
    <row r="9" spans="1:4" x14ac:dyDescent="0.3">
      <c r="A9" s="50" t="s">
        <v>246</v>
      </c>
      <c r="B9" s="54">
        <v>0</v>
      </c>
      <c r="C9" s="54">
        <v>11530</v>
      </c>
      <c r="D9" s="54">
        <v>11530</v>
      </c>
    </row>
    <row r="10" spans="1:4" x14ac:dyDescent="0.3">
      <c r="A10" s="50" t="s">
        <v>604</v>
      </c>
      <c r="B10" s="54">
        <v>0</v>
      </c>
      <c r="C10" s="54">
        <v>2803</v>
      </c>
      <c r="D10" s="54">
        <v>2803</v>
      </c>
    </row>
    <row r="11" spans="1:4" x14ac:dyDescent="0.3">
      <c r="A11" s="50" t="s">
        <v>247</v>
      </c>
      <c r="B11" s="54">
        <v>0</v>
      </c>
      <c r="C11" s="54">
        <v>4389</v>
      </c>
      <c r="D11" s="54">
        <v>4389</v>
      </c>
    </row>
    <row r="12" spans="1:4" x14ac:dyDescent="0.3">
      <c r="A12" s="50" t="s">
        <v>606</v>
      </c>
      <c r="B12" s="54">
        <v>0</v>
      </c>
      <c r="C12" s="54">
        <v>2879</v>
      </c>
      <c r="D12" s="54">
        <v>2879</v>
      </c>
    </row>
    <row r="13" spans="1:4" x14ac:dyDescent="0.3">
      <c r="A13" s="50" t="s">
        <v>248</v>
      </c>
      <c r="B13" s="54">
        <v>0</v>
      </c>
      <c r="C13" s="54">
        <v>11549</v>
      </c>
      <c r="D13" s="54">
        <v>11549</v>
      </c>
    </row>
    <row r="14" spans="1:4" x14ac:dyDescent="0.3">
      <c r="A14" s="50" t="s">
        <v>58</v>
      </c>
      <c r="B14" s="54">
        <v>6667</v>
      </c>
      <c r="C14" s="54">
        <v>4957</v>
      </c>
      <c r="D14" s="54">
        <v>11624</v>
      </c>
    </row>
    <row r="15" spans="1:4" x14ac:dyDescent="0.3">
      <c r="A15" s="50" t="s">
        <v>75</v>
      </c>
      <c r="B15" s="54">
        <v>6738</v>
      </c>
      <c r="C15" s="54">
        <v>9593</v>
      </c>
      <c r="D15" s="54">
        <v>16331</v>
      </c>
    </row>
    <row r="16" spans="1:4" x14ac:dyDescent="0.3">
      <c r="A16" s="50" t="s">
        <v>249</v>
      </c>
      <c r="B16" s="54">
        <v>0</v>
      </c>
      <c r="C16" s="54">
        <v>20090</v>
      </c>
      <c r="D16" s="54">
        <v>20090</v>
      </c>
    </row>
    <row r="17" spans="1:4" x14ac:dyDescent="0.3">
      <c r="A17" s="50" t="s">
        <v>96</v>
      </c>
      <c r="B17" s="54">
        <v>0</v>
      </c>
      <c r="C17" s="54">
        <v>21369</v>
      </c>
      <c r="D17" s="54">
        <v>21369</v>
      </c>
    </row>
    <row r="18" spans="1:4" x14ac:dyDescent="0.3">
      <c r="A18" s="50" t="s">
        <v>103</v>
      </c>
      <c r="B18" s="54">
        <v>11445</v>
      </c>
      <c r="C18" s="54">
        <v>38674</v>
      </c>
      <c r="D18" s="54">
        <v>50119</v>
      </c>
    </row>
    <row r="19" spans="1:4" x14ac:dyDescent="0.3">
      <c r="A19" s="50" t="s">
        <v>134</v>
      </c>
      <c r="B19" s="54">
        <v>0</v>
      </c>
      <c r="C19" s="54">
        <v>33435</v>
      </c>
      <c r="D19" s="54">
        <v>33435</v>
      </c>
    </row>
    <row r="20" spans="1:4" x14ac:dyDescent="0.3">
      <c r="A20" s="50" t="s">
        <v>184</v>
      </c>
      <c r="B20" s="54">
        <v>5173</v>
      </c>
      <c r="C20" s="54">
        <v>9738</v>
      </c>
      <c r="D20" s="54">
        <v>14911</v>
      </c>
    </row>
    <row r="21" spans="1:4" x14ac:dyDescent="0.3">
      <c r="A21" s="50" t="s">
        <v>597</v>
      </c>
      <c r="B21" s="54">
        <v>10972</v>
      </c>
      <c r="C21" s="54">
        <v>47748</v>
      </c>
      <c r="D21" s="54">
        <v>58720</v>
      </c>
    </row>
    <row r="22" spans="1:4" x14ac:dyDescent="0.3">
      <c r="A22" s="50" t="s">
        <v>250</v>
      </c>
      <c r="B22" s="54">
        <v>0</v>
      </c>
      <c r="C22" s="54">
        <v>11559</v>
      </c>
      <c r="D22" s="54">
        <v>11559</v>
      </c>
    </row>
    <row r="23" spans="1:4" x14ac:dyDescent="0.3">
      <c r="A23" s="50" t="s">
        <v>188</v>
      </c>
      <c r="B23" s="54">
        <v>1050</v>
      </c>
      <c r="C23" s="54">
        <v>4099</v>
      </c>
      <c r="D23" s="54">
        <v>5149</v>
      </c>
    </row>
    <row r="24" spans="1:4" x14ac:dyDescent="0.3">
      <c r="A24" s="50" t="s">
        <v>740</v>
      </c>
      <c r="B24" s="54">
        <v>75812</v>
      </c>
      <c r="C24" s="54">
        <v>368407</v>
      </c>
      <c r="D24" s="54">
        <v>444219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0DA0D-7689-4053-9623-08285BA99DE8}">
  <dimension ref="A1:J22"/>
  <sheetViews>
    <sheetView workbookViewId="0">
      <selection activeCell="J2" sqref="J2:J22"/>
    </sheetView>
  </sheetViews>
  <sheetFormatPr defaultColWidth="9" defaultRowHeight="11.5" x14ac:dyDescent="0.25"/>
  <cols>
    <col min="1" max="1" width="17.25" style="103" bestFit="1" customWidth="1"/>
    <col min="2" max="2" width="18.25" style="103" customWidth="1"/>
    <col min="3" max="3" width="23.58203125" style="103" customWidth="1"/>
    <col min="4" max="4" width="15.5" style="103" customWidth="1"/>
    <col min="5" max="6" width="9" style="103"/>
    <col min="7" max="7" width="10.83203125" style="103" bestFit="1" customWidth="1"/>
    <col min="8" max="16384" width="9" style="103"/>
  </cols>
  <sheetData>
    <row r="1" spans="1:10" x14ac:dyDescent="0.25">
      <c r="A1" s="103" t="s">
        <v>739</v>
      </c>
      <c r="B1" s="103" t="s">
        <v>835</v>
      </c>
      <c r="C1" s="103" t="s">
        <v>741</v>
      </c>
      <c r="D1" s="103" t="s">
        <v>742</v>
      </c>
      <c r="G1" s="103" t="s">
        <v>739</v>
      </c>
      <c r="H1" s="103" t="s">
        <v>243</v>
      </c>
      <c r="I1" s="103" t="s">
        <v>244</v>
      </c>
      <c r="J1" s="103" t="s">
        <v>740</v>
      </c>
    </row>
    <row r="2" spans="1:10" x14ac:dyDescent="0.25">
      <c r="A2" s="103" t="s">
        <v>13</v>
      </c>
      <c r="B2" s="103">
        <v>909</v>
      </c>
      <c r="C2" s="103">
        <v>89641</v>
      </c>
      <c r="D2" s="103">
        <v>90550</v>
      </c>
      <c r="G2" s="103" t="s">
        <v>20</v>
      </c>
      <c r="H2" s="103">
        <v>10572</v>
      </c>
      <c r="J2" s="103">
        <v>10572</v>
      </c>
    </row>
    <row r="3" spans="1:10" x14ac:dyDescent="0.25">
      <c r="A3" s="103" t="s">
        <v>597</v>
      </c>
      <c r="B3" s="103">
        <v>10972</v>
      </c>
      <c r="C3" s="103">
        <v>47748</v>
      </c>
      <c r="D3" s="103">
        <v>58720</v>
      </c>
      <c r="G3" s="103" t="s">
        <v>32</v>
      </c>
      <c r="H3" s="103">
        <v>424</v>
      </c>
      <c r="I3" s="103">
        <v>9287</v>
      </c>
      <c r="J3" s="103">
        <v>9711</v>
      </c>
    </row>
    <row r="4" spans="1:10" x14ac:dyDescent="0.25">
      <c r="A4" s="103" t="s">
        <v>103</v>
      </c>
      <c r="B4" s="103">
        <v>11445</v>
      </c>
      <c r="C4" s="103">
        <v>38674</v>
      </c>
      <c r="D4" s="103">
        <v>50119</v>
      </c>
      <c r="G4" s="103" t="s">
        <v>44</v>
      </c>
      <c r="I4" s="103">
        <v>9604</v>
      </c>
      <c r="J4" s="103">
        <v>9604</v>
      </c>
    </row>
    <row r="5" spans="1:10" x14ac:dyDescent="0.25">
      <c r="A5" s="103" t="s">
        <v>134</v>
      </c>
      <c r="B5" s="103">
        <v>0</v>
      </c>
      <c r="C5" s="103">
        <v>33435</v>
      </c>
      <c r="D5" s="103">
        <v>33435</v>
      </c>
      <c r="G5" s="103" t="s">
        <v>108</v>
      </c>
      <c r="H5" s="103">
        <v>3446</v>
      </c>
      <c r="I5" s="103">
        <v>5486</v>
      </c>
      <c r="J5" s="103">
        <v>8932</v>
      </c>
    </row>
    <row r="6" spans="1:10" x14ac:dyDescent="0.25">
      <c r="A6" s="103" t="s">
        <v>18</v>
      </c>
      <c r="B6" s="103">
        <v>10572</v>
      </c>
      <c r="C6" s="103">
        <v>21726</v>
      </c>
      <c r="D6" s="103">
        <v>32298</v>
      </c>
      <c r="G6" s="103" t="s">
        <v>77</v>
      </c>
      <c r="H6" s="103">
        <v>285</v>
      </c>
      <c r="I6" s="103">
        <v>6453</v>
      </c>
      <c r="J6" s="103">
        <v>6738</v>
      </c>
    </row>
    <row r="7" spans="1:10" x14ac:dyDescent="0.25">
      <c r="A7" s="103" t="s">
        <v>30</v>
      </c>
      <c r="B7" s="103">
        <v>9711</v>
      </c>
      <c r="C7" s="103">
        <v>12127</v>
      </c>
      <c r="D7" s="103">
        <v>21838</v>
      </c>
      <c r="G7" s="103" t="s">
        <v>140</v>
      </c>
      <c r="H7" s="103">
        <v>2</v>
      </c>
      <c r="I7" s="103">
        <v>5566</v>
      </c>
      <c r="J7" s="103">
        <v>5568</v>
      </c>
    </row>
    <row r="8" spans="1:10" x14ac:dyDescent="0.25">
      <c r="A8" s="103" t="s">
        <v>96</v>
      </c>
      <c r="B8" s="103">
        <v>0</v>
      </c>
      <c r="C8" s="103">
        <v>21369</v>
      </c>
      <c r="D8" s="103">
        <v>21369</v>
      </c>
      <c r="G8" s="103" t="s">
        <v>253</v>
      </c>
      <c r="H8" s="103">
        <v>4477</v>
      </c>
      <c r="J8" s="103">
        <v>4477</v>
      </c>
    </row>
    <row r="9" spans="1:10" x14ac:dyDescent="0.25">
      <c r="A9" s="103" t="s">
        <v>249</v>
      </c>
      <c r="B9" s="103">
        <v>0</v>
      </c>
      <c r="C9" s="103">
        <v>20090</v>
      </c>
      <c r="D9" s="103">
        <v>20090</v>
      </c>
      <c r="G9" s="103" t="s">
        <v>136</v>
      </c>
      <c r="I9" s="103">
        <v>4199</v>
      </c>
      <c r="J9" s="103">
        <v>4199</v>
      </c>
    </row>
    <row r="10" spans="1:10" x14ac:dyDescent="0.25">
      <c r="A10" s="103" t="s">
        <v>37</v>
      </c>
      <c r="B10" s="103">
        <v>12410</v>
      </c>
      <c r="C10" s="103">
        <v>4769</v>
      </c>
      <c r="D10" s="103">
        <v>17179</v>
      </c>
      <c r="G10" s="103" t="s">
        <v>72</v>
      </c>
      <c r="I10" s="103">
        <v>3634</v>
      </c>
      <c r="J10" s="103">
        <v>3634</v>
      </c>
    </row>
    <row r="11" spans="1:10" x14ac:dyDescent="0.25">
      <c r="A11" s="103" t="s">
        <v>75</v>
      </c>
      <c r="B11" s="103">
        <v>6738</v>
      </c>
      <c r="C11" s="103">
        <v>9593</v>
      </c>
      <c r="D11" s="103">
        <v>16331</v>
      </c>
      <c r="G11" s="103" t="s">
        <v>39</v>
      </c>
      <c r="I11" s="103">
        <v>2596</v>
      </c>
      <c r="J11" s="103">
        <v>2596</v>
      </c>
    </row>
    <row r="12" spans="1:10" x14ac:dyDescent="0.25">
      <c r="A12" s="103" t="s">
        <v>184</v>
      </c>
      <c r="B12" s="103">
        <v>5173</v>
      </c>
      <c r="C12" s="103">
        <v>9738</v>
      </c>
      <c r="D12" s="103">
        <v>14911</v>
      </c>
      <c r="G12" s="103" t="s">
        <v>129</v>
      </c>
      <c r="H12" s="103">
        <v>2363</v>
      </c>
      <c r="J12" s="103">
        <v>2363</v>
      </c>
    </row>
    <row r="13" spans="1:10" x14ac:dyDescent="0.25">
      <c r="A13" s="103" t="s">
        <v>58</v>
      </c>
      <c r="B13" s="103">
        <v>6667</v>
      </c>
      <c r="C13" s="103">
        <v>4957</v>
      </c>
      <c r="D13" s="103">
        <v>11624</v>
      </c>
      <c r="G13" s="103" t="s">
        <v>60</v>
      </c>
      <c r="H13" s="103">
        <v>2178</v>
      </c>
      <c r="J13" s="103">
        <v>2178</v>
      </c>
    </row>
    <row r="14" spans="1:10" x14ac:dyDescent="0.25">
      <c r="A14" s="103" t="s">
        <v>250</v>
      </c>
      <c r="B14" s="103">
        <v>0</v>
      </c>
      <c r="C14" s="103">
        <v>11559</v>
      </c>
      <c r="D14" s="103">
        <v>11559</v>
      </c>
      <c r="G14" s="103" t="s">
        <v>156</v>
      </c>
      <c r="H14" s="103">
        <v>33</v>
      </c>
      <c r="I14" s="103">
        <v>1172</v>
      </c>
      <c r="J14" s="103">
        <v>1205</v>
      </c>
    </row>
    <row r="15" spans="1:10" x14ac:dyDescent="0.25">
      <c r="A15" s="103" t="s">
        <v>248</v>
      </c>
      <c r="B15" s="103">
        <v>0</v>
      </c>
      <c r="C15" s="103">
        <v>11549</v>
      </c>
      <c r="D15" s="103">
        <v>11549</v>
      </c>
      <c r="G15" s="103" t="s">
        <v>190</v>
      </c>
      <c r="H15" s="103">
        <v>1050</v>
      </c>
      <c r="J15" s="103">
        <v>1050</v>
      </c>
    </row>
    <row r="16" spans="1:10" x14ac:dyDescent="0.25">
      <c r="A16" s="103" t="s">
        <v>246</v>
      </c>
      <c r="B16" s="103">
        <v>0</v>
      </c>
      <c r="C16" s="103">
        <v>11530</v>
      </c>
      <c r="D16" s="103">
        <v>11530</v>
      </c>
      <c r="G16" s="103" t="s">
        <v>599</v>
      </c>
      <c r="H16" s="103">
        <v>909</v>
      </c>
      <c r="J16" s="103">
        <v>909</v>
      </c>
    </row>
    <row r="17" spans="1:10" x14ac:dyDescent="0.25">
      <c r="A17" s="103" t="s">
        <v>1</v>
      </c>
      <c r="B17" s="103">
        <v>165</v>
      </c>
      <c r="C17" s="103">
        <v>5732</v>
      </c>
      <c r="D17" s="103">
        <v>5897</v>
      </c>
      <c r="G17" s="103" t="s">
        <v>186</v>
      </c>
      <c r="H17" s="103">
        <v>696</v>
      </c>
      <c r="J17" s="103">
        <v>696</v>
      </c>
    </row>
    <row r="18" spans="1:10" x14ac:dyDescent="0.25">
      <c r="A18" s="103" t="s">
        <v>188</v>
      </c>
      <c r="B18" s="103">
        <v>1050</v>
      </c>
      <c r="C18" s="103">
        <v>4099</v>
      </c>
      <c r="D18" s="103">
        <v>5149</v>
      </c>
      <c r="G18" s="103" t="s">
        <v>279</v>
      </c>
      <c r="I18" s="103">
        <v>432</v>
      </c>
      <c r="J18" s="103">
        <v>432</v>
      </c>
    </row>
    <row r="19" spans="1:10" x14ac:dyDescent="0.25">
      <c r="A19" s="103" t="s">
        <v>247</v>
      </c>
      <c r="B19" s="103">
        <v>0</v>
      </c>
      <c r="C19" s="103">
        <v>4389</v>
      </c>
      <c r="D19" s="103">
        <v>4389</v>
      </c>
      <c r="G19" s="103" t="s">
        <v>774</v>
      </c>
      <c r="I19" s="103">
        <v>423</v>
      </c>
      <c r="J19" s="103">
        <v>423</v>
      </c>
    </row>
    <row r="20" spans="1:10" x14ac:dyDescent="0.25">
      <c r="A20" s="103" t="s">
        <v>606</v>
      </c>
      <c r="B20" s="103">
        <v>0</v>
      </c>
      <c r="C20" s="103">
        <v>2879</v>
      </c>
      <c r="D20" s="103">
        <v>2879</v>
      </c>
      <c r="G20" s="103" t="s">
        <v>54</v>
      </c>
      <c r="H20" s="103">
        <v>210</v>
      </c>
      <c r="J20" s="103">
        <v>210</v>
      </c>
    </row>
    <row r="21" spans="1:10" x14ac:dyDescent="0.25">
      <c r="A21" s="103" t="s">
        <v>604</v>
      </c>
      <c r="B21" s="103">
        <v>0</v>
      </c>
      <c r="C21" s="103">
        <v>2803</v>
      </c>
      <c r="D21" s="103">
        <v>2803</v>
      </c>
      <c r="G21" s="103" t="s">
        <v>3</v>
      </c>
      <c r="H21" s="103">
        <v>165</v>
      </c>
      <c r="J21" s="103">
        <v>165</v>
      </c>
    </row>
    <row r="22" spans="1:10" x14ac:dyDescent="0.25">
      <c r="G22" s="103" t="s">
        <v>105</v>
      </c>
      <c r="I22" s="103">
        <v>150</v>
      </c>
      <c r="J22" s="103">
        <v>150</v>
      </c>
    </row>
  </sheetData>
  <autoFilter ref="G1:J22" xr:uid="{CA90DA0D-7689-4053-9623-08285BA99DE8}">
    <sortState xmlns:xlrd2="http://schemas.microsoft.com/office/spreadsheetml/2017/richdata2" ref="G2:J22">
      <sortCondition descending="1" ref="J1:J22"/>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4C7F-6E89-4052-A4E1-C4374BA897AB}">
  <dimension ref="A1:T199"/>
  <sheetViews>
    <sheetView showGridLines="0" topLeftCell="A34" workbookViewId="0">
      <selection activeCell="T15" sqref="T15"/>
    </sheetView>
  </sheetViews>
  <sheetFormatPr defaultRowHeight="14" x14ac:dyDescent="0.3"/>
  <cols>
    <col min="1" max="1" width="3.83203125" bestFit="1" customWidth="1"/>
    <col min="2" max="2" width="19.08203125" hidden="1" customWidth="1"/>
    <col min="3" max="3" width="17.25" bestFit="1" customWidth="1"/>
    <col min="4" max="4" width="19.08203125" hidden="1" customWidth="1"/>
    <col min="5" max="5" width="17.33203125" bestFit="1" customWidth="1"/>
    <col min="6" max="6" width="19.08203125" hidden="1" customWidth="1"/>
    <col min="7" max="7" width="20.5" bestFit="1" customWidth="1"/>
    <col min="8" max="8" width="13.75" customWidth="1"/>
    <col min="9" max="9" width="22.83203125" customWidth="1"/>
    <col min="10" max="10" width="13.58203125" customWidth="1"/>
  </cols>
  <sheetData>
    <row r="1" spans="1:20" ht="14.5" thickBot="1" x14ac:dyDescent="0.35"/>
    <row r="2" spans="1:20" ht="27" x14ac:dyDescent="0.3">
      <c r="A2" s="11" t="s">
        <v>827</v>
      </c>
      <c r="M2" s="124" t="s">
        <v>729</v>
      </c>
      <c r="N2" s="125"/>
      <c r="O2" s="126"/>
      <c r="P2" s="124" t="s">
        <v>730</v>
      </c>
      <c r="Q2" s="125"/>
      <c r="R2" s="126"/>
      <c r="S2" s="130" t="s">
        <v>731</v>
      </c>
      <c r="T2" s="131"/>
    </row>
    <row r="3" spans="1:20" ht="27.5" thickBot="1" x14ac:dyDescent="0.35">
      <c r="A3" s="11" t="s">
        <v>549</v>
      </c>
      <c r="M3" s="127"/>
      <c r="N3" s="128"/>
      <c r="O3" s="129"/>
      <c r="P3" s="127"/>
      <c r="Q3" s="128"/>
      <c r="R3" s="129"/>
      <c r="S3" s="132"/>
      <c r="T3" s="133"/>
    </row>
    <row r="4" spans="1:20" x14ac:dyDescent="0.3">
      <c r="M4" s="114">
        <f>SUBTOTAL(9,Table5[Nbr PDI Sites
LR*])</f>
        <v>75812</v>
      </c>
      <c r="N4" s="115"/>
      <c r="O4" s="116"/>
      <c r="P4" s="114">
        <f>SUBTOTAL(9,Table5[Nbr PDI Familles Accueil])</f>
        <v>368407</v>
      </c>
      <c r="Q4" s="115"/>
      <c r="R4" s="116"/>
      <c r="S4" s="120">
        <f>SUM(M4:R5)</f>
        <v>444219</v>
      </c>
      <c r="T4" s="121"/>
    </row>
    <row r="5" spans="1:20" ht="14.5" thickBot="1" x14ac:dyDescent="0.35">
      <c r="M5" s="117"/>
      <c r="N5" s="118"/>
      <c r="O5" s="119"/>
      <c r="P5" s="117"/>
      <c r="Q5" s="118"/>
      <c r="R5" s="119"/>
      <c r="S5" s="122"/>
      <c r="T5" s="123"/>
    </row>
    <row r="6" spans="1:20" s="9" customFormat="1" ht="25" x14ac:dyDescent="0.3">
      <c r="A6" s="77" t="s">
        <v>552</v>
      </c>
      <c r="B6" s="78" t="s">
        <v>721</v>
      </c>
      <c r="C6" s="78" t="s">
        <v>718</v>
      </c>
      <c r="D6" s="78" t="s">
        <v>722</v>
      </c>
      <c r="E6" s="78" t="s">
        <v>719</v>
      </c>
      <c r="F6" s="78" t="s">
        <v>723</v>
      </c>
      <c r="G6" s="78" t="s">
        <v>720</v>
      </c>
      <c r="H6" s="31" t="s">
        <v>807</v>
      </c>
      <c r="I6" s="78" t="s">
        <v>551</v>
      </c>
      <c r="J6" s="79" t="s">
        <v>550</v>
      </c>
    </row>
    <row r="7" spans="1:20" x14ac:dyDescent="0.3">
      <c r="A7" s="21">
        <v>1</v>
      </c>
      <c r="B7" s="22" t="s">
        <v>401</v>
      </c>
      <c r="C7" s="22" t="s">
        <v>249</v>
      </c>
      <c r="D7" s="22" t="s">
        <v>432</v>
      </c>
      <c r="E7" s="22" t="s">
        <v>283</v>
      </c>
      <c r="F7" s="22" t="s">
        <v>506</v>
      </c>
      <c r="G7" s="22" t="s">
        <v>283</v>
      </c>
      <c r="H7" s="45">
        <f>SUMIF(Table1[Admin3_Pcode],Table5[[#This Row],[Admin3_Pcode]],Table1[30.04.2025 Individus])</f>
        <v>0</v>
      </c>
      <c r="I7" s="45">
        <f>SUMIF(Table4[Admin3_Pcode],Table5[[#This Row],[Admin3_Pcode]],Table4[30.04.2025 Individus])</f>
        <v>1620</v>
      </c>
      <c r="J7" s="23">
        <f>SUM(Table5[[#This Row],[Nbr PDI Sites
LR*]:[Nbr PDI Familles Accueil]])</f>
        <v>1620</v>
      </c>
    </row>
    <row r="8" spans="1:20" x14ac:dyDescent="0.3">
      <c r="A8" s="21">
        <v>2</v>
      </c>
      <c r="B8" s="22" t="s">
        <v>19</v>
      </c>
      <c r="C8" s="22" t="s">
        <v>18</v>
      </c>
      <c r="D8" s="22" t="s">
        <v>21</v>
      </c>
      <c r="E8" s="22" t="s">
        <v>20</v>
      </c>
      <c r="F8" s="22" t="s">
        <v>22</v>
      </c>
      <c r="G8" s="22" t="s">
        <v>20</v>
      </c>
      <c r="H8" s="22">
        <f>SUMIF(Table1[Admin3_Pcode],Table5[[#This Row],[Admin3_Pcode]],Table1[30.04.2025 Individus])</f>
        <v>10572</v>
      </c>
      <c r="I8" s="22">
        <f>SUMIF(Table4[Admin3_Pcode],Table5[[#This Row],[Admin3_Pcode]],Table4[30.04.2025 Individus])</f>
        <v>1267</v>
      </c>
      <c r="J8" s="23">
        <f>SUM(Table5[[#This Row],[Nbr PDI Sites
LR*]:[Nbr PDI Familles Accueil]])</f>
        <v>11839</v>
      </c>
    </row>
    <row r="9" spans="1:20" x14ac:dyDescent="0.3">
      <c r="A9" s="21">
        <v>3</v>
      </c>
      <c r="B9" s="22" t="s">
        <v>189</v>
      </c>
      <c r="C9" s="22" t="s">
        <v>188</v>
      </c>
      <c r="D9" s="22" t="s">
        <v>668</v>
      </c>
      <c r="E9" s="22" t="s">
        <v>669</v>
      </c>
      <c r="F9" s="22" t="s">
        <v>683</v>
      </c>
      <c r="G9" s="22" t="s">
        <v>669</v>
      </c>
      <c r="H9" s="22">
        <f>SUMIF(Table1[Admin3_Pcode],Table5[[#This Row],[Admin3_Pcode]],Table1[30.04.2025 Individus])</f>
        <v>0</v>
      </c>
      <c r="I9" s="22">
        <f>SUMIF(Table4[Admin3_Pcode],Table5[[#This Row],[Admin3_Pcode]],Table4[30.04.2025 Individus])</f>
        <v>0</v>
      </c>
      <c r="J9" s="23">
        <f>SUM(Table5[[#This Row],[Nbr PDI Sites
LR*]:[Nbr PDI Familles Accueil]])</f>
        <v>0</v>
      </c>
    </row>
    <row r="10" spans="1:20" x14ac:dyDescent="0.3">
      <c r="A10" s="21">
        <v>4</v>
      </c>
      <c r="B10" s="22" t="s">
        <v>14</v>
      </c>
      <c r="C10" s="22" t="s">
        <v>13</v>
      </c>
      <c r="D10" s="22" t="s">
        <v>665</v>
      </c>
      <c r="E10" s="22" t="s">
        <v>664</v>
      </c>
      <c r="F10" s="22" t="s">
        <v>635</v>
      </c>
      <c r="G10" s="22" t="s">
        <v>306</v>
      </c>
      <c r="H10" s="22">
        <f>SUMIF(Table1[Admin3_Pcode],Table5[[#This Row],[Admin3_Pcode]],Table1[30.04.2025 Individus])</f>
        <v>0</v>
      </c>
      <c r="I10" s="22">
        <f>SUMIF(Table4[Admin3_Pcode],Table5[[#This Row],[Admin3_Pcode]],Table4[30.04.2025 Individus])</f>
        <v>235</v>
      </c>
      <c r="J10" s="23">
        <f>SUM(Table5[[#This Row],[Nbr PDI Sites
LR*]:[Nbr PDI Familles Accueil]])</f>
        <v>235</v>
      </c>
      <c r="K10" s="101"/>
    </row>
    <row r="11" spans="1:20" x14ac:dyDescent="0.3">
      <c r="A11" s="21">
        <v>5</v>
      </c>
      <c r="B11" s="22" t="s">
        <v>14</v>
      </c>
      <c r="C11" s="22" t="s">
        <v>13</v>
      </c>
      <c r="D11" s="22" t="s">
        <v>600</v>
      </c>
      <c r="E11" s="22" t="s">
        <v>599</v>
      </c>
      <c r="F11" s="22" t="s">
        <v>616</v>
      </c>
      <c r="G11" s="22" t="s">
        <v>307</v>
      </c>
      <c r="H11" s="22">
        <f>SUMIF(Table1[Admin3_Pcode],Table5[[#This Row],[Admin3_Pcode]],Table1[30.04.2025 Individus])</f>
        <v>828</v>
      </c>
      <c r="I11" s="22">
        <f>SUMIF(Table4[Admin3_Pcode],Table5[[#This Row],[Admin3_Pcode]],Table4[30.04.2025 Individus])</f>
        <v>5836</v>
      </c>
      <c r="J11" s="23">
        <f>SUM(Table5[[#This Row],[Nbr PDI Sites
LR*]:[Nbr PDI Familles Accueil]])</f>
        <v>6664</v>
      </c>
    </row>
    <row r="12" spans="1:20" x14ac:dyDescent="0.3">
      <c r="A12" s="21">
        <v>6</v>
      </c>
      <c r="B12" s="22" t="s">
        <v>14</v>
      </c>
      <c r="C12" s="22" t="s">
        <v>13</v>
      </c>
      <c r="D12" s="22" t="s">
        <v>15</v>
      </c>
      <c r="E12" s="22" t="s">
        <v>608</v>
      </c>
      <c r="F12" s="22" t="s">
        <v>454</v>
      </c>
      <c r="G12" s="22" t="s">
        <v>308</v>
      </c>
      <c r="H12" s="22">
        <f>SUMIF(Table1[Admin3_Pcode],Table5[[#This Row],[Admin3_Pcode]],Table1[30.04.2025 Individus])</f>
        <v>0</v>
      </c>
      <c r="I12" s="22">
        <f>SUMIF(Table4[Admin3_Pcode],Table5[[#This Row],[Admin3_Pcode]],Table4[30.04.2025 Individus])</f>
        <v>28755</v>
      </c>
      <c r="J12" s="23">
        <f>SUM(Table5[[#This Row],[Nbr PDI Sites
LR*]:[Nbr PDI Familles Accueil]])</f>
        <v>28755</v>
      </c>
    </row>
    <row r="13" spans="1:20" x14ac:dyDescent="0.3">
      <c r="A13" s="21">
        <v>7</v>
      </c>
      <c r="B13" s="22" t="s">
        <v>14</v>
      </c>
      <c r="C13" s="22" t="s">
        <v>13</v>
      </c>
      <c r="D13" s="22" t="s">
        <v>667</v>
      </c>
      <c r="E13" s="22" t="s">
        <v>666</v>
      </c>
      <c r="F13" s="22" t="s">
        <v>636</v>
      </c>
      <c r="G13" s="22" t="s">
        <v>309</v>
      </c>
      <c r="H13" s="22">
        <f>SUMIF(Table1[Admin3_Pcode],Table5[[#This Row],[Admin3_Pcode]],Table1[30.04.2025 Individus])</f>
        <v>0</v>
      </c>
      <c r="I13" s="22">
        <f>SUMIF(Table4[Admin3_Pcode],Table5[[#This Row],[Admin3_Pcode]],Table4[30.04.2025 Individus])</f>
        <v>3473</v>
      </c>
      <c r="J13" s="23">
        <f>SUM(Table5[[#This Row],[Nbr PDI Sites
LR*]:[Nbr PDI Familles Accueil]])</f>
        <v>3473</v>
      </c>
    </row>
    <row r="14" spans="1:20" x14ac:dyDescent="0.3">
      <c r="A14" s="21">
        <v>8</v>
      </c>
      <c r="B14" s="22" t="s">
        <v>14</v>
      </c>
      <c r="C14" s="22" t="s">
        <v>13</v>
      </c>
      <c r="D14" s="22" t="s">
        <v>15</v>
      </c>
      <c r="E14" s="22" t="s">
        <v>608</v>
      </c>
      <c r="F14" s="22" t="s">
        <v>455</v>
      </c>
      <c r="G14" s="22" t="s">
        <v>310</v>
      </c>
      <c r="H14" s="22">
        <f>SUMIF(Table1[Admin3_Pcode],Table5[[#This Row],[Admin3_Pcode]],Table1[30.04.2025 Individus])</f>
        <v>0</v>
      </c>
      <c r="I14" s="22">
        <f>SUMIF(Table4[Admin3_Pcode],Table5[[#This Row],[Admin3_Pcode]],Table4[30.04.2025 Individus])</f>
        <v>7156</v>
      </c>
      <c r="J14" s="23">
        <f>SUM(Table5[[#This Row],[Nbr PDI Sites
LR*]:[Nbr PDI Familles Accueil]])</f>
        <v>7156</v>
      </c>
    </row>
    <row r="15" spans="1:20" x14ac:dyDescent="0.3">
      <c r="A15" s="21">
        <v>9</v>
      </c>
      <c r="B15" s="22" t="s">
        <v>14</v>
      </c>
      <c r="C15" s="22" t="s">
        <v>13</v>
      </c>
      <c r="D15" s="22" t="s">
        <v>600</v>
      </c>
      <c r="E15" s="22" t="s">
        <v>599</v>
      </c>
      <c r="F15" s="22" t="s">
        <v>615</v>
      </c>
      <c r="G15" s="22" t="s">
        <v>16</v>
      </c>
      <c r="H15" s="22">
        <f>SUMIF(Table1[Admin3_Pcode],Table5[[#This Row],[Admin3_Pcode]],Table1[30.04.2025 Individus])</f>
        <v>0</v>
      </c>
      <c r="I15" s="22">
        <f>SUMIF(Table4[Admin3_Pcode],Table5[[#This Row],[Admin3_Pcode]],Table4[30.04.2025 Individus])</f>
        <v>5256</v>
      </c>
      <c r="J15" s="23">
        <f>SUM(Table5[[#This Row],[Nbr PDI Sites
LR*]:[Nbr PDI Familles Accueil]])</f>
        <v>5256</v>
      </c>
    </row>
    <row r="16" spans="1:20" x14ac:dyDescent="0.3">
      <c r="A16" s="21">
        <v>10</v>
      </c>
      <c r="B16" s="22" t="s">
        <v>14</v>
      </c>
      <c r="C16" s="22" t="s">
        <v>13</v>
      </c>
      <c r="D16" s="22" t="s">
        <v>665</v>
      </c>
      <c r="E16" s="22" t="s">
        <v>664</v>
      </c>
      <c r="F16" s="22" t="s">
        <v>637</v>
      </c>
      <c r="G16" s="22" t="s">
        <v>311</v>
      </c>
      <c r="H16" s="22">
        <f>SUMIF(Table1[Admin3_Pcode],Table5[[#This Row],[Admin3_Pcode]],Table1[30.04.2025 Individus])</f>
        <v>0</v>
      </c>
      <c r="I16" s="22">
        <f>SUMIF(Table4[Admin3_Pcode],Table5[[#This Row],[Admin3_Pcode]],Table4[30.04.2025 Individus])</f>
        <v>150</v>
      </c>
      <c r="J16" s="23">
        <f>SUM(Table5[[#This Row],[Nbr PDI Sites
LR*]:[Nbr PDI Familles Accueil]])</f>
        <v>150</v>
      </c>
    </row>
    <row r="17" spans="1:10" x14ac:dyDescent="0.3">
      <c r="A17" s="21">
        <v>11</v>
      </c>
      <c r="B17" s="22" t="s">
        <v>14</v>
      </c>
      <c r="C17" s="22" t="s">
        <v>13</v>
      </c>
      <c r="D17" s="22" t="s">
        <v>667</v>
      </c>
      <c r="E17" s="22" t="s">
        <v>666</v>
      </c>
      <c r="F17" s="22" t="s">
        <v>638</v>
      </c>
      <c r="G17" s="22" t="s">
        <v>312</v>
      </c>
      <c r="H17" s="22">
        <f>SUMIF(Table1[Admin3_Pcode],Table5[[#This Row],[Admin3_Pcode]],Table1[30.04.2025 Individus])</f>
        <v>0</v>
      </c>
      <c r="I17" s="22">
        <f>SUMIF(Table4[Admin3_Pcode],Table5[[#This Row],[Admin3_Pcode]],Table4[30.04.2025 Individus])</f>
        <v>3008</v>
      </c>
      <c r="J17" s="23">
        <f>SUM(Table5[[#This Row],[Nbr PDI Sites
LR*]:[Nbr PDI Familles Accueil]])</f>
        <v>3008</v>
      </c>
    </row>
    <row r="18" spans="1:10" x14ac:dyDescent="0.3">
      <c r="A18" s="21">
        <v>12</v>
      </c>
      <c r="B18" s="22" t="s">
        <v>104</v>
      </c>
      <c r="C18" s="22" t="s">
        <v>103</v>
      </c>
      <c r="D18" s="22" t="s">
        <v>120</v>
      </c>
      <c r="E18" s="22" t="s">
        <v>119</v>
      </c>
      <c r="F18" s="22" t="s">
        <v>529</v>
      </c>
      <c r="G18" s="22" t="s">
        <v>366</v>
      </c>
      <c r="H18" s="22">
        <f>SUMIF(Table1[Admin3_Pcode],Table5[[#This Row],[Admin3_Pcode]],Table1[30.04.2025 Individus])</f>
        <v>0</v>
      </c>
      <c r="I18" s="22">
        <f>SUMIF(Table4[Admin3_Pcode],Table5[[#This Row],[Admin3_Pcode]],Table4[30.04.2025 Individus])</f>
        <v>147</v>
      </c>
      <c r="J18" s="23">
        <f>SUM(Table5[[#This Row],[Nbr PDI Sites
LR*]:[Nbr PDI Familles Accueil]])</f>
        <v>147</v>
      </c>
    </row>
    <row r="19" spans="1:10" x14ac:dyDescent="0.3">
      <c r="A19" s="21">
        <v>13</v>
      </c>
      <c r="B19" s="22" t="s">
        <v>401</v>
      </c>
      <c r="C19" s="22" t="s">
        <v>249</v>
      </c>
      <c r="D19" s="22" t="s">
        <v>434</v>
      </c>
      <c r="E19" s="22" t="s">
        <v>285</v>
      </c>
      <c r="F19" s="22" t="s">
        <v>509</v>
      </c>
      <c r="G19" s="22" t="s">
        <v>285</v>
      </c>
      <c r="H19" s="22">
        <f>SUMIF(Table1[Admin3_Pcode],Table5[[#This Row],[Admin3_Pcode]],Table1[30.04.2025 Individus])</f>
        <v>0</v>
      </c>
      <c r="I19" s="22">
        <f>SUMIF(Table4[Admin3_Pcode],Table5[[#This Row],[Admin3_Pcode]],Table4[30.04.2025 Individus])</f>
        <v>1957</v>
      </c>
      <c r="J19" s="23">
        <f>SUM(Table5[[#This Row],[Nbr PDI Sites
LR*]:[Nbr PDI Familles Accueil]])</f>
        <v>1957</v>
      </c>
    </row>
    <row r="20" spans="1:10" x14ac:dyDescent="0.3">
      <c r="A20" s="21">
        <v>14</v>
      </c>
      <c r="B20" s="22" t="s">
        <v>605</v>
      </c>
      <c r="C20" s="22" t="s">
        <v>604</v>
      </c>
      <c r="D20" s="22" t="s">
        <v>612</v>
      </c>
      <c r="E20" s="22" t="s">
        <v>297</v>
      </c>
      <c r="F20" s="22" t="s">
        <v>657</v>
      </c>
      <c r="G20" s="22" t="s">
        <v>386</v>
      </c>
      <c r="H20" s="22">
        <f>SUMIF(Table1[Admin3_Pcode],Table5[[#This Row],[Admin3_Pcode]],Table1[30.04.2025 Individus])</f>
        <v>0</v>
      </c>
      <c r="I20" s="22">
        <f>SUMIF(Table4[Admin3_Pcode],Table5[[#This Row],[Admin3_Pcode]],Table4[30.04.2025 Individus])</f>
        <v>186</v>
      </c>
      <c r="J20" s="23">
        <f>SUM(Table5[[#This Row],[Nbr PDI Sites
LR*]:[Nbr PDI Familles Accueil]])</f>
        <v>186</v>
      </c>
    </row>
    <row r="21" spans="1:10" x14ac:dyDescent="0.3">
      <c r="A21" s="21">
        <v>15</v>
      </c>
      <c r="B21" s="22" t="s">
        <v>104</v>
      </c>
      <c r="C21" s="22" t="s">
        <v>103</v>
      </c>
      <c r="D21" s="22" t="s">
        <v>130</v>
      </c>
      <c r="E21" s="22" t="s">
        <v>129</v>
      </c>
      <c r="F21" s="22" t="s">
        <v>528</v>
      </c>
      <c r="G21" s="22" t="s">
        <v>365</v>
      </c>
      <c r="H21" s="22">
        <f>SUMIF(Table1[Admin3_Pcode],Table5[[#This Row],[Admin3_Pcode]],Table1[30.04.2025 Individus])</f>
        <v>0</v>
      </c>
      <c r="I21" s="22">
        <f>SUMIF(Table4[Admin3_Pcode],Table5[[#This Row],[Admin3_Pcode]],Table4[30.04.2025 Individus])</f>
        <v>713</v>
      </c>
      <c r="J21" s="23">
        <f>SUM(Table5[[#This Row],[Nbr PDI Sites
LR*]:[Nbr PDI Familles Accueil]])</f>
        <v>713</v>
      </c>
    </row>
    <row r="22" spans="1:10" x14ac:dyDescent="0.3">
      <c r="A22" s="21">
        <v>16</v>
      </c>
      <c r="B22" s="22" t="s">
        <v>598</v>
      </c>
      <c r="C22" s="22" t="s">
        <v>597</v>
      </c>
      <c r="D22" s="22" t="s">
        <v>601</v>
      </c>
      <c r="E22" s="22" t="s">
        <v>136</v>
      </c>
      <c r="F22" s="22" t="s">
        <v>646</v>
      </c>
      <c r="G22" s="22" t="s">
        <v>369</v>
      </c>
      <c r="H22" s="22">
        <f>SUMIF(Table1[Admin3_Pcode],Table5[[#This Row],[Admin3_Pcode]],Table1[30.04.2025 Individus])</f>
        <v>0</v>
      </c>
      <c r="I22" s="22">
        <f>SUMIF(Table4[Admin3_Pcode],Table5[[#This Row],[Admin3_Pcode]],Table4[30.04.2025 Individus])</f>
        <v>515</v>
      </c>
      <c r="J22" s="23">
        <f>SUM(Table5[[#This Row],[Nbr PDI Sites
LR*]:[Nbr PDI Familles Accueil]])</f>
        <v>515</v>
      </c>
    </row>
    <row r="23" spans="1:10" x14ac:dyDescent="0.3">
      <c r="A23" s="21">
        <v>17</v>
      </c>
      <c r="B23" s="22" t="s">
        <v>19</v>
      </c>
      <c r="C23" s="22" t="s">
        <v>18</v>
      </c>
      <c r="D23" s="22" t="s">
        <v>21</v>
      </c>
      <c r="E23" s="22" t="s">
        <v>20</v>
      </c>
      <c r="F23" s="22" t="s">
        <v>456</v>
      </c>
      <c r="G23" s="22" t="s">
        <v>313</v>
      </c>
      <c r="H23" s="22">
        <f>SUMIF(Table1[Admin3_Pcode],Table5[[#This Row],[Admin3_Pcode]],Table1[30.04.2025 Individus])</f>
        <v>0</v>
      </c>
      <c r="I23" s="22">
        <f>SUMIF(Table4[Admin3_Pcode],Table5[[#This Row],[Admin3_Pcode]],Table4[30.04.2025 Individus])</f>
        <v>1845</v>
      </c>
      <c r="J23" s="23">
        <f>SUM(Table5[[#This Row],[Nbr PDI Sites
LR*]:[Nbr PDI Familles Accueil]])</f>
        <v>1845</v>
      </c>
    </row>
    <row r="24" spans="1:10" x14ac:dyDescent="0.3">
      <c r="A24" s="21">
        <v>18</v>
      </c>
      <c r="B24" s="22" t="s">
        <v>59</v>
      </c>
      <c r="C24" s="22" t="s">
        <v>58</v>
      </c>
      <c r="D24" s="22" t="s">
        <v>73</v>
      </c>
      <c r="E24" s="22" t="s">
        <v>72</v>
      </c>
      <c r="F24" s="22" t="s">
        <v>494</v>
      </c>
      <c r="G24" s="22" t="s">
        <v>72</v>
      </c>
      <c r="H24" s="22">
        <f>SUMIF(Table1[Admin3_Pcode],Table5[[#This Row],[Admin3_Pcode]],Table1[30.04.2025 Individus])</f>
        <v>3634</v>
      </c>
      <c r="I24" s="22">
        <f>SUMIF(Table4[Admin3_Pcode],Table5[[#This Row],[Admin3_Pcode]],Table4[30.04.2025 Individus])</f>
        <v>3076</v>
      </c>
      <c r="J24" s="23">
        <f>SUM(Table5[[#This Row],[Nbr PDI Sites
LR*]:[Nbr PDI Familles Accueil]])</f>
        <v>6710</v>
      </c>
    </row>
    <row r="25" spans="1:10" x14ac:dyDescent="0.3">
      <c r="A25" s="21">
        <v>19</v>
      </c>
      <c r="B25" s="22" t="s">
        <v>399</v>
      </c>
      <c r="C25" s="22" t="s">
        <v>247</v>
      </c>
      <c r="D25" s="22" t="s">
        <v>422</v>
      </c>
      <c r="E25" s="22" t="s">
        <v>270</v>
      </c>
      <c r="F25" s="22" t="s">
        <v>485</v>
      </c>
      <c r="G25" s="22" t="s">
        <v>334</v>
      </c>
      <c r="H25" s="22">
        <f>SUMIF(Table1[Admin3_Pcode],Table5[[#This Row],[Admin3_Pcode]],Table1[30.04.2025 Individus])</f>
        <v>0</v>
      </c>
      <c r="I25" s="22">
        <f>SUMIF(Table4[Admin3_Pcode],Table5[[#This Row],[Admin3_Pcode]],Table4[30.04.2025 Individus])</f>
        <v>0</v>
      </c>
      <c r="J25" s="23">
        <f>SUM(Table5[[#This Row],[Nbr PDI Sites
LR*]:[Nbr PDI Familles Accueil]])</f>
        <v>0</v>
      </c>
    </row>
    <row r="26" spans="1:10" x14ac:dyDescent="0.3">
      <c r="A26" s="21">
        <v>20</v>
      </c>
      <c r="B26" s="22" t="s">
        <v>104</v>
      </c>
      <c r="C26" s="22" t="s">
        <v>103</v>
      </c>
      <c r="D26" s="22" t="s">
        <v>109</v>
      </c>
      <c r="E26" s="22" t="s">
        <v>108</v>
      </c>
      <c r="F26" s="22" t="s">
        <v>110</v>
      </c>
      <c r="G26" s="22" t="s">
        <v>108</v>
      </c>
      <c r="H26" s="22">
        <f>SUMIF(Table1[Admin3_Pcode],Table5[[#This Row],[Admin3_Pcode]],Table1[30.04.2025 Individus])</f>
        <v>5600</v>
      </c>
      <c r="I26" s="22">
        <f>SUMIF(Table4[Admin3_Pcode],Table5[[#This Row],[Admin3_Pcode]],Table4[30.04.2025 Individus])</f>
        <v>4843</v>
      </c>
      <c r="J26" s="23">
        <f>SUM(Table5[[#This Row],[Nbr PDI Sites
LR*]:[Nbr PDI Familles Accueil]])</f>
        <v>10443</v>
      </c>
    </row>
    <row r="27" spans="1:10" x14ac:dyDescent="0.3">
      <c r="A27" s="21">
        <v>21</v>
      </c>
      <c r="B27" s="22" t="s">
        <v>59</v>
      </c>
      <c r="C27" s="22" t="s">
        <v>58</v>
      </c>
      <c r="D27" s="22" t="s">
        <v>428</v>
      </c>
      <c r="E27" s="22" t="s">
        <v>279</v>
      </c>
      <c r="F27" s="22" t="s">
        <v>495</v>
      </c>
      <c r="G27" s="22" t="s">
        <v>279</v>
      </c>
      <c r="H27" s="22">
        <f>SUMIF(Table1[Admin3_Pcode],Table5[[#This Row],[Admin3_Pcode]],Table1[30.04.2025 Individus])</f>
        <v>855</v>
      </c>
      <c r="I27" s="22">
        <f>SUMIF(Table4[Admin3_Pcode],Table5[[#This Row],[Admin3_Pcode]],Table4[30.04.2025 Individus])</f>
        <v>253</v>
      </c>
      <c r="J27" s="23">
        <f>SUM(Table5[[#This Row],[Nbr PDI Sites
LR*]:[Nbr PDI Familles Accueil]])</f>
        <v>1108</v>
      </c>
    </row>
    <row r="28" spans="1:10" x14ac:dyDescent="0.3">
      <c r="A28" s="21">
        <v>22</v>
      </c>
      <c r="B28" s="22" t="s">
        <v>19</v>
      </c>
      <c r="C28" s="22" t="s">
        <v>18</v>
      </c>
      <c r="D28" s="22" t="s">
        <v>21</v>
      </c>
      <c r="E28" s="22" t="s">
        <v>20</v>
      </c>
      <c r="F28" s="22" t="s">
        <v>459</v>
      </c>
      <c r="G28" s="22" t="s">
        <v>316</v>
      </c>
      <c r="H28" s="22">
        <f>SUMIF(Table1[Admin3_Pcode],Table5[[#This Row],[Admin3_Pcode]],Table1[30.04.2025 Individus])</f>
        <v>0</v>
      </c>
      <c r="I28" s="22">
        <f>SUMIF(Table4[Admin3_Pcode],Table5[[#This Row],[Admin3_Pcode]],Table4[30.04.2025 Individus])</f>
        <v>0</v>
      </c>
      <c r="J28" s="23">
        <f>SUM(Table5[[#This Row],[Nbr PDI Sites
LR*]:[Nbr PDI Familles Accueil]])</f>
        <v>0</v>
      </c>
    </row>
    <row r="29" spans="1:10" x14ac:dyDescent="0.3">
      <c r="A29" s="21">
        <v>23</v>
      </c>
      <c r="B29" s="22" t="s">
        <v>605</v>
      </c>
      <c r="C29" s="22" t="s">
        <v>604</v>
      </c>
      <c r="D29" s="22" t="s">
        <v>612</v>
      </c>
      <c r="E29" s="22" t="s">
        <v>297</v>
      </c>
      <c r="F29" s="22" t="s">
        <v>651</v>
      </c>
      <c r="G29" s="22" t="s">
        <v>558</v>
      </c>
      <c r="H29" s="22">
        <f>SUMIF(Table1[Admin3_Pcode],Table5[[#This Row],[Admin3_Pcode]],Table1[30.04.2025 Individus])</f>
        <v>0</v>
      </c>
      <c r="I29" s="22">
        <f>SUMIF(Table4[Admin3_Pcode],Table5[[#This Row],[Admin3_Pcode]],Table4[30.04.2025 Individus])</f>
        <v>292</v>
      </c>
      <c r="J29" s="23">
        <f>SUM(Table5[[#This Row],[Nbr PDI Sites
LR*]:[Nbr PDI Familles Accueil]])</f>
        <v>292</v>
      </c>
    </row>
    <row r="30" spans="1:10" x14ac:dyDescent="0.3">
      <c r="A30" s="21">
        <v>24</v>
      </c>
      <c r="B30" s="22" t="s">
        <v>400</v>
      </c>
      <c r="C30" s="22" t="s">
        <v>248</v>
      </c>
      <c r="D30" s="22" t="s">
        <v>424</v>
      </c>
      <c r="E30" s="22" t="s">
        <v>273</v>
      </c>
      <c r="F30" s="22" t="s">
        <v>489</v>
      </c>
      <c r="G30" s="22" t="s">
        <v>336</v>
      </c>
      <c r="H30" s="22">
        <f>SUMIF(Table1[Admin3_Pcode],Table5[[#This Row],[Admin3_Pcode]],Table1[30.04.2025 Individus])</f>
        <v>0</v>
      </c>
      <c r="I30" s="22">
        <f>SUMIF(Table4[Admin3_Pcode],Table5[[#This Row],[Admin3_Pcode]],Table4[30.04.2025 Individus])</f>
        <v>578</v>
      </c>
      <c r="J30" s="23">
        <f>SUM(Table5[[#This Row],[Nbr PDI Sites
LR*]:[Nbr PDI Familles Accueil]])</f>
        <v>578</v>
      </c>
    </row>
    <row r="31" spans="1:10" x14ac:dyDescent="0.3">
      <c r="A31" s="21">
        <v>25</v>
      </c>
      <c r="B31" s="22" t="s">
        <v>400</v>
      </c>
      <c r="C31" s="22" t="s">
        <v>248</v>
      </c>
      <c r="D31" s="22" t="s">
        <v>426</v>
      </c>
      <c r="E31" s="22" t="s">
        <v>277</v>
      </c>
      <c r="F31" s="22" t="s">
        <v>626</v>
      </c>
      <c r="G31" s="22" t="s">
        <v>631</v>
      </c>
      <c r="H31" s="22">
        <f>SUMIF(Table1[Admin3_Pcode],Table5[[#This Row],[Admin3_Pcode]],Table1[30.04.2025 Individus])</f>
        <v>0</v>
      </c>
      <c r="I31" s="22">
        <f>SUMIF(Table4[Admin3_Pcode],Table5[[#This Row],[Admin3_Pcode]],Table4[30.04.2025 Individus])</f>
        <v>1925</v>
      </c>
      <c r="J31" s="23">
        <f>SUM(Table5[[#This Row],[Nbr PDI Sites
LR*]:[Nbr PDI Familles Accueil]])</f>
        <v>1925</v>
      </c>
    </row>
    <row r="32" spans="1:10" x14ac:dyDescent="0.3">
      <c r="A32" s="21">
        <v>26</v>
      </c>
      <c r="B32" s="22" t="s">
        <v>400</v>
      </c>
      <c r="C32" s="22" t="s">
        <v>248</v>
      </c>
      <c r="D32" s="22" t="s">
        <v>427</v>
      </c>
      <c r="E32" s="22" t="s">
        <v>278</v>
      </c>
      <c r="F32" s="22" t="s">
        <v>627</v>
      </c>
      <c r="G32" s="22" t="s">
        <v>632</v>
      </c>
      <c r="H32" s="22">
        <f>SUMIF(Table1[Admin3_Pcode],Table5[[#This Row],[Admin3_Pcode]],Table1[30.04.2025 Individus])</f>
        <v>0</v>
      </c>
      <c r="I32" s="22">
        <f>SUMIF(Table4[Admin3_Pcode],Table5[[#This Row],[Admin3_Pcode]],Table4[30.04.2025 Individus])</f>
        <v>161</v>
      </c>
      <c r="J32" s="23">
        <f>SUM(Table5[[#This Row],[Nbr PDI Sites
LR*]:[Nbr PDI Familles Accueil]])</f>
        <v>161</v>
      </c>
    </row>
    <row r="33" spans="1:10" x14ac:dyDescent="0.3">
      <c r="A33" s="21">
        <v>27</v>
      </c>
      <c r="B33" s="22" t="s">
        <v>400</v>
      </c>
      <c r="C33" s="22" t="s">
        <v>248</v>
      </c>
      <c r="D33" s="22" t="s">
        <v>424</v>
      </c>
      <c r="E33" s="22" t="s">
        <v>273</v>
      </c>
      <c r="F33" s="22" t="s">
        <v>490</v>
      </c>
      <c r="G33" s="22" t="s">
        <v>337</v>
      </c>
      <c r="H33" s="22">
        <f>SUMIF(Table1[Admin3_Pcode],Table5[[#This Row],[Admin3_Pcode]],Table1[30.04.2025 Individus])</f>
        <v>0</v>
      </c>
      <c r="I33" s="22">
        <f>SUMIF(Table4[Admin3_Pcode],Table5[[#This Row],[Admin3_Pcode]],Table4[30.04.2025 Individus])</f>
        <v>383</v>
      </c>
      <c r="J33" s="23">
        <f>SUM(Table5[[#This Row],[Nbr PDI Sites
LR*]:[Nbr PDI Familles Accueil]])</f>
        <v>383</v>
      </c>
    </row>
    <row r="34" spans="1:10" x14ac:dyDescent="0.3">
      <c r="A34" s="21">
        <v>28</v>
      </c>
      <c r="B34" s="22" t="s">
        <v>598</v>
      </c>
      <c r="C34" s="22" t="s">
        <v>597</v>
      </c>
      <c r="D34" s="22" t="s">
        <v>601</v>
      </c>
      <c r="E34" s="22" t="s">
        <v>136</v>
      </c>
      <c r="F34" s="22" t="s">
        <v>620</v>
      </c>
      <c r="G34" s="22" t="s">
        <v>136</v>
      </c>
      <c r="H34" s="22">
        <f>SUMIF(Table1[Admin3_Pcode],Table5[[#This Row],[Admin3_Pcode]],Table1[30.04.2025 Individus])</f>
        <v>3104</v>
      </c>
      <c r="I34" s="22">
        <f>SUMIF(Table4[Admin3_Pcode],Table5[[#This Row],[Admin3_Pcode]],Table4[30.04.2025 Individus])</f>
        <v>15645</v>
      </c>
      <c r="J34" s="23">
        <f>SUM(Table5[[#This Row],[Nbr PDI Sites
LR*]:[Nbr PDI Familles Accueil]])</f>
        <v>18749</v>
      </c>
    </row>
    <row r="35" spans="1:10" x14ac:dyDescent="0.3">
      <c r="A35" s="21">
        <v>29</v>
      </c>
      <c r="B35" s="22" t="s">
        <v>401</v>
      </c>
      <c r="C35" s="22" t="s">
        <v>249</v>
      </c>
      <c r="D35" s="22" t="s">
        <v>435</v>
      </c>
      <c r="E35" s="22" t="s">
        <v>286</v>
      </c>
      <c r="F35" s="22" t="s">
        <v>513</v>
      </c>
      <c r="G35" s="22" t="s">
        <v>356</v>
      </c>
      <c r="H35" s="22">
        <f>SUMIF(Table1[Admin3_Pcode],Table5[[#This Row],[Admin3_Pcode]],Table1[30.04.2025 Individus])</f>
        <v>0</v>
      </c>
      <c r="I35" s="22">
        <f>SUMIF(Table4[Admin3_Pcode],Table5[[#This Row],[Admin3_Pcode]],Table4[30.04.2025 Individus])</f>
        <v>3609</v>
      </c>
      <c r="J35" s="23">
        <f>SUM(Table5[[#This Row],[Nbr PDI Sites
LR*]:[Nbr PDI Familles Accueil]])</f>
        <v>3609</v>
      </c>
    </row>
    <row r="36" spans="1:10" x14ac:dyDescent="0.3">
      <c r="A36" s="21">
        <v>30</v>
      </c>
      <c r="B36" s="22" t="s">
        <v>401</v>
      </c>
      <c r="C36" s="22" t="s">
        <v>249</v>
      </c>
      <c r="D36" s="22" t="s">
        <v>433</v>
      </c>
      <c r="E36" s="22" t="s">
        <v>284</v>
      </c>
      <c r="F36" s="22" t="s">
        <v>507</v>
      </c>
      <c r="G36" s="22" t="s">
        <v>351</v>
      </c>
      <c r="H36" s="22">
        <f>SUMIF(Table1[Admin3_Pcode],Table5[[#This Row],[Admin3_Pcode]],Table1[30.04.2025 Individus])</f>
        <v>0</v>
      </c>
      <c r="I36" s="22">
        <f>SUMIF(Table4[Admin3_Pcode],Table5[[#This Row],[Admin3_Pcode]],Table4[30.04.2025 Individus])</f>
        <v>1372</v>
      </c>
      <c r="J36" s="23">
        <f>SUM(Table5[[#This Row],[Nbr PDI Sites
LR*]:[Nbr PDI Familles Accueil]])</f>
        <v>1372</v>
      </c>
    </row>
    <row r="37" spans="1:10" x14ac:dyDescent="0.3">
      <c r="A37" s="21">
        <v>31</v>
      </c>
      <c r="B37" s="22" t="s">
        <v>598</v>
      </c>
      <c r="C37" s="22" t="s">
        <v>597</v>
      </c>
      <c r="D37" s="22" t="s">
        <v>601</v>
      </c>
      <c r="E37" s="22" t="s">
        <v>136</v>
      </c>
      <c r="F37" s="22" t="s">
        <v>648</v>
      </c>
      <c r="G37" s="22" t="s">
        <v>371</v>
      </c>
      <c r="H37" s="22">
        <f>SUMIF(Table1[Admin3_Pcode],Table5[[#This Row],[Admin3_Pcode]],Table1[30.04.2025 Individus])</f>
        <v>0</v>
      </c>
      <c r="I37" s="22">
        <f>SUMIF(Table4[Admin3_Pcode],Table5[[#This Row],[Admin3_Pcode]],Table4[30.04.2025 Individus])</f>
        <v>2655</v>
      </c>
      <c r="J37" s="23">
        <f>SUM(Table5[[#This Row],[Nbr PDI Sites
LR*]:[Nbr PDI Familles Accueil]])</f>
        <v>2655</v>
      </c>
    </row>
    <row r="38" spans="1:10" x14ac:dyDescent="0.3">
      <c r="A38" s="21">
        <v>32</v>
      </c>
      <c r="B38" s="22" t="s">
        <v>14</v>
      </c>
      <c r="C38" s="22" t="s">
        <v>13</v>
      </c>
      <c r="D38" s="22" t="s">
        <v>600</v>
      </c>
      <c r="E38" s="22" t="s">
        <v>599</v>
      </c>
      <c r="F38" s="22" t="s">
        <v>684</v>
      </c>
      <c r="G38" s="22" t="s">
        <v>703</v>
      </c>
      <c r="H38" s="22">
        <f>SUMIF(Table1[Admin3_Pcode],Table5[[#This Row],[Admin3_Pcode]],Table1[30.04.2025 Individus])</f>
        <v>0</v>
      </c>
      <c r="I38" s="22">
        <f>SUMIF(Table4[Admin3_Pcode],Table5[[#This Row],[Admin3_Pcode]],Table4[30.04.2025 Individus])</f>
        <v>0</v>
      </c>
      <c r="J38" s="23">
        <f>SUM(Table5[[#This Row],[Nbr PDI Sites
LR*]:[Nbr PDI Familles Accueil]])</f>
        <v>0</v>
      </c>
    </row>
    <row r="39" spans="1:10" x14ac:dyDescent="0.3">
      <c r="A39" s="21">
        <v>33</v>
      </c>
      <c r="B39" s="22" t="s">
        <v>135</v>
      </c>
      <c r="C39" s="22" t="s">
        <v>134</v>
      </c>
      <c r="D39" s="22" t="s">
        <v>181</v>
      </c>
      <c r="E39" s="22" t="s">
        <v>180</v>
      </c>
      <c r="F39" s="22" t="s">
        <v>537</v>
      </c>
      <c r="G39" s="22" t="s">
        <v>376</v>
      </c>
      <c r="H39" s="22">
        <f>SUMIF(Table1[Admin3_Pcode],Table5[[#This Row],[Admin3_Pcode]],Table1[30.04.2025 Individus])</f>
        <v>0</v>
      </c>
      <c r="I39" s="22">
        <f>SUMIF(Table4[Admin3_Pcode],Table5[[#This Row],[Admin3_Pcode]],Table4[30.04.2025 Individus])</f>
        <v>1605</v>
      </c>
      <c r="J39" s="23">
        <f>SUM(Table5[[#This Row],[Nbr PDI Sites
LR*]:[Nbr PDI Familles Accueil]])</f>
        <v>1605</v>
      </c>
    </row>
    <row r="40" spans="1:10" x14ac:dyDescent="0.3">
      <c r="A40" s="21">
        <v>34</v>
      </c>
      <c r="B40" s="22" t="s">
        <v>400</v>
      </c>
      <c r="C40" s="22" t="s">
        <v>248</v>
      </c>
      <c r="D40" s="22" t="s">
        <v>424</v>
      </c>
      <c r="E40" s="22" t="s">
        <v>273</v>
      </c>
      <c r="F40" s="22" t="s">
        <v>641</v>
      </c>
      <c r="G40" s="22" t="s">
        <v>273</v>
      </c>
      <c r="H40" s="22">
        <f>SUMIF(Table1[Admin3_Pcode],Table5[[#This Row],[Admin3_Pcode]],Table1[30.04.2025 Individus])</f>
        <v>0</v>
      </c>
      <c r="I40" s="22">
        <f>SUMIF(Table4[Admin3_Pcode],Table5[[#This Row],[Admin3_Pcode]],Table4[30.04.2025 Individus])</f>
        <v>4212</v>
      </c>
      <c r="J40" s="23">
        <f>SUM(Table5[[#This Row],[Nbr PDI Sites
LR*]:[Nbr PDI Familles Accueil]])</f>
        <v>4212</v>
      </c>
    </row>
    <row r="41" spans="1:10" x14ac:dyDescent="0.3">
      <c r="A41" s="21">
        <v>35</v>
      </c>
      <c r="B41" s="22" t="s">
        <v>402</v>
      </c>
      <c r="C41" s="22" t="s">
        <v>250</v>
      </c>
      <c r="D41" s="22" t="s">
        <v>447</v>
      </c>
      <c r="E41" s="22" t="s">
        <v>300</v>
      </c>
      <c r="F41" s="22" t="s">
        <v>545</v>
      </c>
      <c r="G41" s="22" t="s">
        <v>393</v>
      </c>
      <c r="H41" s="22">
        <f>SUMIF(Table1[Admin3_Pcode],Table5[[#This Row],[Admin3_Pcode]],Table1[30.04.2025 Individus])</f>
        <v>0</v>
      </c>
      <c r="I41" s="22">
        <f>SUMIF(Table4[Admin3_Pcode],Table5[[#This Row],[Admin3_Pcode]],Table4[30.04.2025 Individus])</f>
        <v>1325</v>
      </c>
      <c r="J41" s="23">
        <f>SUM(Table5[[#This Row],[Nbr PDI Sites
LR*]:[Nbr PDI Familles Accueil]])</f>
        <v>1325</v>
      </c>
    </row>
    <row r="42" spans="1:10" x14ac:dyDescent="0.3">
      <c r="A42" s="21">
        <v>36</v>
      </c>
      <c r="B42" s="22" t="s">
        <v>605</v>
      </c>
      <c r="C42" s="22" t="s">
        <v>604</v>
      </c>
      <c r="D42" s="22" t="s">
        <v>670</v>
      </c>
      <c r="E42" s="22" t="s">
        <v>671</v>
      </c>
      <c r="F42" s="22" t="s">
        <v>662</v>
      </c>
      <c r="G42" s="22" t="s">
        <v>392</v>
      </c>
      <c r="H42" s="22">
        <f>SUMIF(Table1[Admin3_Pcode],Table5[[#This Row],[Admin3_Pcode]],Table1[30.04.2025 Individus])</f>
        <v>0</v>
      </c>
      <c r="I42" s="22">
        <f>SUMIF(Table4[Admin3_Pcode],Table5[[#This Row],[Admin3_Pcode]],Table4[30.04.2025 Individus])</f>
        <v>0</v>
      </c>
      <c r="J42" s="23">
        <f>SUM(Table5[[#This Row],[Nbr PDI Sites
LR*]:[Nbr PDI Familles Accueil]])</f>
        <v>0</v>
      </c>
    </row>
    <row r="43" spans="1:10" x14ac:dyDescent="0.3">
      <c r="A43" s="21">
        <v>37</v>
      </c>
      <c r="B43" s="22" t="s">
        <v>14</v>
      </c>
      <c r="C43" s="22" t="s">
        <v>13</v>
      </c>
      <c r="D43" s="22" t="s">
        <v>600</v>
      </c>
      <c r="E43" s="22" t="s">
        <v>599</v>
      </c>
      <c r="F43" s="22" t="s">
        <v>619</v>
      </c>
      <c r="G43" s="22" t="s">
        <v>98</v>
      </c>
      <c r="H43" s="22">
        <f>SUMIF(Table1[Admin3_Pcode],Table5[[#This Row],[Admin3_Pcode]],Table1[30.04.2025 Individus])</f>
        <v>81</v>
      </c>
      <c r="I43" s="22">
        <f>SUMIF(Table4[Admin3_Pcode],Table5[[#This Row],[Admin3_Pcode]],Table4[30.04.2025 Individus])</f>
        <v>35772</v>
      </c>
      <c r="J43" s="23">
        <f>SUM(Table5[[#This Row],[Nbr PDI Sites
LR*]:[Nbr PDI Familles Accueil]])</f>
        <v>35853</v>
      </c>
    </row>
    <row r="44" spans="1:10" x14ac:dyDescent="0.3">
      <c r="A44" s="21">
        <v>38</v>
      </c>
      <c r="B44" s="22" t="s">
        <v>401</v>
      </c>
      <c r="C44" s="22" t="s">
        <v>249</v>
      </c>
      <c r="D44" s="22" t="s">
        <v>434</v>
      </c>
      <c r="E44" s="22" t="s">
        <v>285</v>
      </c>
      <c r="F44" s="22" t="s">
        <v>508</v>
      </c>
      <c r="G44" s="22" t="s">
        <v>352</v>
      </c>
      <c r="H44" s="22">
        <f>SUMIF(Table1[Admin3_Pcode],Table5[[#This Row],[Admin3_Pcode]],Table1[30.04.2025 Individus])</f>
        <v>0</v>
      </c>
      <c r="I44" s="22">
        <f>SUMIF(Table4[Admin3_Pcode],Table5[[#This Row],[Admin3_Pcode]],Table4[30.04.2025 Individus])</f>
        <v>265</v>
      </c>
      <c r="J44" s="23">
        <f>SUM(Table5[[#This Row],[Nbr PDI Sites
LR*]:[Nbr PDI Familles Accueil]])</f>
        <v>265</v>
      </c>
    </row>
    <row r="45" spans="1:10" x14ac:dyDescent="0.3">
      <c r="A45" s="21">
        <v>39</v>
      </c>
      <c r="B45" s="22" t="s">
        <v>185</v>
      </c>
      <c r="C45" s="22" t="s">
        <v>184</v>
      </c>
      <c r="D45" s="22" t="s">
        <v>404</v>
      </c>
      <c r="E45" s="22" t="s">
        <v>252</v>
      </c>
      <c r="F45" s="22" t="s">
        <v>450</v>
      </c>
      <c r="G45" s="22" t="s">
        <v>303</v>
      </c>
      <c r="H45" s="22">
        <f>SUMIF(Table1[Admin3_Pcode],Table5[[#This Row],[Admin3_Pcode]],Table1[30.04.2025 Individus])</f>
        <v>0</v>
      </c>
      <c r="I45" s="22">
        <f>SUMIF(Table4[Admin3_Pcode],Table5[[#This Row],[Admin3_Pcode]],Table4[30.04.2025 Individus])</f>
        <v>2706</v>
      </c>
      <c r="J45" s="23">
        <f>SUM(Table5[[#This Row],[Nbr PDI Sites
LR*]:[Nbr PDI Familles Accueil]])</f>
        <v>2706</v>
      </c>
    </row>
    <row r="46" spans="1:10" x14ac:dyDescent="0.3">
      <c r="A46" s="21">
        <v>40</v>
      </c>
      <c r="B46" s="22" t="s">
        <v>185</v>
      </c>
      <c r="C46" s="22" t="s">
        <v>184</v>
      </c>
      <c r="D46" s="22" t="s">
        <v>405</v>
      </c>
      <c r="E46" s="22" t="s">
        <v>253</v>
      </c>
      <c r="F46" s="22" t="s">
        <v>685</v>
      </c>
      <c r="G46" s="22" t="s">
        <v>704</v>
      </c>
      <c r="H46" s="22">
        <f>SUMIF(Table1[Admin3_Pcode],Table5[[#This Row],[Admin3_Pcode]],Table1[30.04.2025 Individus])</f>
        <v>0</v>
      </c>
      <c r="I46" s="22">
        <f>SUMIF(Table4[Admin3_Pcode],Table5[[#This Row],[Admin3_Pcode]],Table4[30.04.2025 Individus])</f>
        <v>0</v>
      </c>
      <c r="J46" s="23">
        <f>SUM(Table5[[#This Row],[Nbr PDI Sites
LR*]:[Nbr PDI Familles Accueil]])</f>
        <v>0</v>
      </c>
    </row>
    <row r="47" spans="1:10" x14ac:dyDescent="0.3">
      <c r="A47" s="21">
        <v>41</v>
      </c>
      <c r="B47" s="22" t="s">
        <v>399</v>
      </c>
      <c r="C47" s="22" t="s">
        <v>96</v>
      </c>
      <c r="D47" s="22" t="s">
        <v>436</v>
      </c>
      <c r="E47" s="22" t="s">
        <v>287</v>
      </c>
      <c r="F47" s="22" t="s">
        <v>518</v>
      </c>
      <c r="G47" s="22" t="s">
        <v>287</v>
      </c>
      <c r="H47" s="22">
        <f>SUMIF(Table1[Admin3_Pcode],Table5[[#This Row],[Admin3_Pcode]],Table1[30.04.2025 Individus])</f>
        <v>0</v>
      </c>
      <c r="I47" s="22">
        <f>SUMIF(Table4[Admin3_Pcode],Table5[[#This Row],[Admin3_Pcode]],Table4[30.04.2025 Individus])</f>
        <v>1198</v>
      </c>
      <c r="J47" s="23">
        <f>SUM(Table5[[#This Row],[Nbr PDI Sites
LR*]:[Nbr PDI Familles Accueil]])</f>
        <v>1198</v>
      </c>
    </row>
    <row r="48" spans="1:10" x14ac:dyDescent="0.3">
      <c r="A48" s="21">
        <v>42</v>
      </c>
      <c r="B48" s="22" t="s">
        <v>185</v>
      </c>
      <c r="C48" s="22" t="s">
        <v>184</v>
      </c>
      <c r="D48" s="22" t="s">
        <v>187</v>
      </c>
      <c r="E48" s="22" t="s">
        <v>186</v>
      </c>
      <c r="F48" s="22" t="s">
        <v>207</v>
      </c>
      <c r="G48" s="22" t="s">
        <v>186</v>
      </c>
      <c r="H48" s="22">
        <f>SUMIF(Table1[Admin3_Pcode],Table5[[#This Row],[Admin3_Pcode]],Table1[30.04.2025 Individus])</f>
        <v>696</v>
      </c>
      <c r="I48" s="22">
        <f>SUMIF(Table4[Admin3_Pcode],Table5[[#This Row],[Admin3_Pcode]],Table4[30.04.2025 Individus])</f>
        <v>3255</v>
      </c>
      <c r="J48" s="23">
        <f>SUM(Table5[[#This Row],[Nbr PDI Sites
LR*]:[Nbr PDI Familles Accueil]])</f>
        <v>3951</v>
      </c>
    </row>
    <row r="49" spans="1:10" x14ac:dyDescent="0.3">
      <c r="A49" s="21">
        <v>43</v>
      </c>
      <c r="B49" s="22" t="s">
        <v>399</v>
      </c>
      <c r="C49" s="22" t="s">
        <v>247</v>
      </c>
      <c r="D49" s="22" t="s">
        <v>420</v>
      </c>
      <c r="E49" s="22" t="s">
        <v>268</v>
      </c>
      <c r="F49" s="22" t="s">
        <v>482</v>
      </c>
      <c r="G49" s="22" t="s">
        <v>268</v>
      </c>
      <c r="H49" s="22">
        <f>SUMIF(Table1[Admin3_Pcode],Table5[[#This Row],[Admin3_Pcode]],Table1[30.04.2025 Individus])</f>
        <v>0</v>
      </c>
      <c r="I49" s="22">
        <f>SUMIF(Table4[Admin3_Pcode],Table5[[#This Row],[Admin3_Pcode]],Table4[30.04.2025 Individus])</f>
        <v>465</v>
      </c>
      <c r="J49" s="23">
        <f>SUM(Table5[[#This Row],[Nbr PDI Sites
LR*]:[Nbr PDI Familles Accueil]])</f>
        <v>465</v>
      </c>
    </row>
    <row r="50" spans="1:10" x14ac:dyDescent="0.3">
      <c r="A50" s="21">
        <v>44</v>
      </c>
      <c r="B50" s="22" t="s">
        <v>399</v>
      </c>
      <c r="C50" s="22" t="s">
        <v>247</v>
      </c>
      <c r="D50" s="22" t="s">
        <v>421</v>
      </c>
      <c r="E50" s="22" t="s">
        <v>269</v>
      </c>
      <c r="F50" s="22" t="s">
        <v>483</v>
      </c>
      <c r="G50" s="22" t="s">
        <v>269</v>
      </c>
      <c r="H50" s="22">
        <f>SUMIF(Table1[Admin3_Pcode],Table5[[#This Row],[Admin3_Pcode]],Table1[30.04.2025 Individus])</f>
        <v>0</v>
      </c>
      <c r="I50" s="22">
        <f>SUMIF(Table4[Admin3_Pcode],Table5[[#This Row],[Admin3_Pcode]],Table4[30.04.2025 Individus])</f>
        <v>0</v>
      </c>
      <c r="J50" s="23">
        <f>SUM(Table5[[#This Row],[Nbr PDI Sites
LR*]:[Nbr PDI Familles Accueil]])</f>
        <v>0</v>
      </c>
    </row>
    <row r="51" spans="1:10" x14ac:dyDescent="0.3">
      <c r="A51" s="21">
        <v>45</v>
      </c>
      <c r="B51" s="22" t="s">
        <v>97</v>
      </c>
      <c r="C51" s="22" t="s">
        <v>96</v>
      </c>
      <c r="D51" s="22" t="s">
        <v>437</v>
      </c>
      <c r="E51" s="22" t="s">
        <v>288</v>
      </c>
      <c r="F51" s="22" t="s">
        <v>519</v>
      </c>
      <c r="G51" s="22" t="s">
        <v>288</v>
      </c>
      <c r="H51" s="22">
        <f>SUMIF(Table1[Admin3_Pcode],Table5[[#This Row],[Admin3_Pcode]],Table1[30.04.2025 Individus])</f>
        <v>0</v>
      </c>
      <c r="I51" s="22">
        <f>SUMIF(Table4[Admin3_Pcode],Table5[[#This Row],[Admin3_Pcode]],Table4[30.04.2025 Individus])</f>
        <v>3385</v>
      </c>
      <c r="J51" s="23">
        <f>SUM(Table5[[#This Row],[Nbr PDI Sites
LR*]:[Nbr PDI Familles Accueil]])</f>
        <v>3385</v>
      </c>
    </row>
    <row r="52" spans="1:10" x14ac:dyDescent="0.3">
      <c r="A52" s="21">
        <v>46</v>
      </c>
      <c r="B52" s="22" t="s">
        <v>399</v>
      </c>
      <c r="C52" s="22" t="s">
        <v>247</v>
      </c>
      <c r="D52" s="22" t="s">
        <v>422</v>
      </c>
      <c r="E52" s="22" t="s">
        <v>270</v>
      </c>
      <c r="F52" s="22" t="s">
        <v>686</v>
      </c>
      <c r="G52" s="22" t="s">
        <v>705</v>
      </c>
      <c r="H52" s="22">
        <f>SUMIF(Table1[Admin3_Pcode],Table5[[#This Row],[Admin3_Pcode]],Table1[30.04.2025 Individus])</f>
        <v>0</v>
      </c>
      <c r="I52" s="22">
        <f>SUMIF(Table4[Admin3_Pcode],Table5[[#This Row],[Admin3_Pcode]],Table4[30.04.2025 Individus])</f>
        <v>0</v>
      </c>
      <c r="J52" s="23">
        <f>SUM(Table5[[#This Row],[Nbr PDI Sites
LR*]:[Nbr PDI Familles Accueil]])</f>
        <v>0</v>
      </c>
    </row>
    <row r="53" spans="1:10" x14ac:dyDescent="0.3">
      <c r="A53" s="21">
        <v>47</v>
      </c>
      <c r="B53" s="22" t="s">
        <v>135</v>
      </c>
      <c r="C53" s="22" t="s">
        <v>134</v>
      </c>
      <c r="D53" s="22" t="s">
        <v>181</v>
      </c>
      <c r="E53" s="22" t="s">
        <v>180</v>
      </c>
      <c r="F53" s="22" t="s">
        <v>182</v>
      </c>
      <c r="G53" s="22" t="s">
        <v>180</v>
      </c>
      <c r="H53" s="22">
        <f>SUMIF(Table1[Admin3_Pcode],Table5[[#This Row],[Admin3_Pcode]],Table1[30.04.2025 Individus])</f>
        <v>0</v>
      </c>
      <c r="I53" s="22">
        <f>SUMIF(Table4[Admin3_Pcode],Table5[[#This Row],[Admin3_Pcode]],Table4[30.04.2025 Individus])</f>
        <v>2819</v>
      </c>
      <c r="J53" s="23">
        <f>SUM(Table5[[#This Row],[Nbr PDI Sites
LR*]:[Nbr PDI Familles Accueil]])</f>
        <v>2819</v>
      </c>
    </row>
    <row r="54" spans="1:10" x14ac:dyDescent="0.3">
      <c r="A54" s="21">
        <v>48</v>
      </c>
      <c r="B54" s="22" t="s">
        <v>97</v>
      </c>
      <c r="C54" s="22" t="s">
        <v>96</v>
      </c>
      <c r="D54" s="22" t="s">
        <v>438</v>
      </c>
      <c r="E54" s="22" t="s">
        <v>289</v>
      </c>
      <c r="F54" s="22" t="s">
        <v>521</v>
      </c>
      <c r="G54" s="22" t="s">
        <v>289</v>
      </c>
      <c r="H54" s="22">
        <f>SUMIF(Table1[Admin3_Pcode],Table5[[#This Row],[Admin3_Pcode]],Table1[30.04.2025 Individus])</f>
        <v>0</v>
      </c>
      <c r="I54" s="22">
        <f>SUMIF(Table4[Admin3_Pcode],Table5[[#This Row],[Admin3_Pcode]],Table4[30.04.2025 Individus])</f>
        <v>2577</v>
      </c>
      <c r="J54" s="23">
        <f>SUM(Table5[[#This Row],[Nbr PDI Sites
LR*]:[Nbr PDI Familles Accueil]])</f>
        <v>2577</v>
      </c>
    </row>
    <row r="55" spans="1:10" x14ac:dyDescent="0.3">
      <c r="A55" s="21">
        <v>49</v>
      </c>
      <c r="B55" s="22" t="s">
        <v>76</v>
      </c>
      <c r="C55" s="22" t="s">
        <v>75</v>
      </c>
      <c r="D55" s="22" t="s">
        <v>78</v>
      </c>
      <c r="E55" s="22" t="s">
        <v>77</v>
      </c>
      <c r="F55" s="22" t="s">
        <v>503</v>
      </c>
      <c r="G55" s="22" t="s">
        <v>348</v>
      </c>
      <c r="H55" s="22">
        <f>SUMIF(Table1[Admin3_Pcode],Table5[[#This Row],[Admin3_Pcode]],Table1[30.04.2025 Individus])</f>
        <v>0</v>
      </c>
      <c r="I55" s="22">
        <f>SUMIF(Table4[Admin3_Pcode],Table5[[#This Row],[Admin3_Pcode]],Table4[30.04.2025 Individus])</f>
        <v>96</v>
      </c>
      <c r="J55" s="23">
        <f>SUM(Table5[[#This Row],[Nbr PDI Sites
LR*]:[Nbr PDI Familles Accueil]])</f>
        <v>96</v>
      </c>
    </row>
    <row r="56" spans="1:10" x14ac:dyDescent="0.3">
      <c r="A56" s="21">
        <v>50</v>
      </c>
      <c r="B56" s="22" t="s">
        <v>401</v>
      </c>
      <c r="C56" s="22" t="s">
        <v>249</v>
      </c>
      <c r="D56" s="22" t="s">
        <v>433</v>
      </c>
      <c r="E56" s="22" t="s">
        <v>284</v>
      </c>
      <c r="F56" s="22" t="s">
        <v>687</v>
      </c>
      <c r="G56" s="22" t="s">
        <v>284</v>
      </c>
      <c r="H56" s="22">
        <f>SUMIF(Table1[Admin3_Pcode],Table5[[#This Row],[Admin3_Pcode]],Table1[30.04.2025 Individus])</f>
        <v>0</v>
      </c>
      <c r="I56" s="22">
        <f>SUMIF(Table4[Admin3_Pcode],Table5[[#This Row],[Admin3_Pcode]],Table4[30.04.2025 Individus])</f>
        <v>4050</v>
      </c>
      <c r="J56" s="23">
        <f>SUM(Table5[[#This Row],[Nbr PDI Sites
LR*]:[Nbr PDI Familles Accueil]])</f>
        <v>4050</v>
      </c>
    </row>
    <row r="57" spans="1:10" x14ac:dyDescent="0.3">
      <c r="A57" s="21">
        <v>51</v>
      </c>
      <c r="B57" s="22" t="s">
        <v>598</v>
      </c>
      <c r="C57" s="22" t="s">
        <v>597</v>
      </c>
      <c r="D57" s="22" t="s">
        <v>603</v>
      </c>
      <c r="E57" s="22" t="s">
        <v>156</v>
      </c>
      <c r="F57" s="22" t="s">
        <v>621</v>
      </c>
      <c r="G57" s="22" t="s">
        <v>157</v>
      </c>
      <c r="H57" s="22">
        <f>SUMIF(Table1[Admin3_Pcode],Table5[[#This Row],[Admin3_Pcode]],Table1[30.04.2025 Individus])</f>
        <v>635</v>
      </c>
      <c r="I57" s="22">
        <f>SUMIF(Table4[Admin3_Pcode],Table5[[#This Row],[Admin3_Pcode]],Table4[30.04.2025 Individus])</f>
        <v>5089</v>
      </c>
      <c r="J57" s="23">
        <f>SUM(Table5[[#This Row],[Nbr PDI Sites
LR*]:[Nbr PDI Familles Accueil]])</f>
        <v>5724</v>
      </c>
    </row>
    <row r="58" spans="1:10" x14ac:dyDescent="0.3">
      <c r="A58" s="21">
        <v>52</v>
      </c>
      <c r="B58" s="22" t="s">
        <v>185</v>
      </c>
      <c r="C58" s="22" t="s">
        <v>184</v>
      </c>
      <c r="D58" s="22" t="s">
        <v>405</v>
      </c>
      <c r="E58" s="22" t="s">
        <v>253</v>
      </c>
      <c r="F58" s="22" t="s">
        <v>451</v>
      </c>
      <c r="G58" s="22" t="s">
        <v>253</v>
      </c>
      <c r="H58" s="22">
        <f>SUMIF(Table1[Admin3_Pcode],Table5[[#This Row],[Admin3_Pcode]],Table1[30.04.2025 Individus])</f>
        <v>4477</v>
      </c>
      <c r="I58" s="22">
        <f>SUMIF(Table4[Admin3_Pcode],Table5[[#This Row],[Admin3_Pcode]],Table4[30.04.2025 Individus])</f>
        <v>2564</v>
      </c>
      <c r="J58" s="23">
        <f>SUM(Table5[[#This Row],[Nbr PDI Sites
LR*]:[Nbr PDI Familles Accueil]])</f>
        <v>7041</v>
      </c>
    </row>
    <row r="59" spans="1:10" x14ac:dyDescent="0.3">
      <c r="A59" s="21">
        <v>53</v>
      </c>
      <c r="B59" s="22" t="s">
        <v>607</v>
      </c>
      <c r="C59" s="22" t="s">
        <v>606</v>
      </c>
      <c r="D59" s="22" t="s">
        <v>610</v>
      </c>
      <c r="E59" s="22" t="s">
        <v>274</v>
      </c>
      <c r="F59" s="22" t="s">
        <v>642</v>
      </c>
      <c r="G59" s="22" t="s">
        <v>274</v>
      </c>
      <c r="H59" s="22">
        <f>SUMIF(Table1[Admin3_Pcode],Table5[[#This Row],[Admin3_Pcode]],Table1[30.04.2025 Individus])</f>
        <v>0</v>
      </c>
      <c r="I59" s="22">
        <f>SUMIF(Table4[Admin3_Pcode],Table5[[#This Row],[Admin3_Pcode]],Table4[30.04.2025 Individus])</f>
        <v>1522</v>
      </c>
      <c r="J59" s="23">
        <f>SUM(Table5[[#This Row],[Nbr PDI Sites
LR*]:[Nbr PDI Familles Accueil]])</f>
        <v>1522</v>
      </c>
    </row>
    <row r="60" spans="1:10" x14ac:dyDescent="0.3">
      <c r="A60" s="21">
        <v>54</v>
      </c>
      <c r="B60" s="22" t="s">
        <v>104</v>
      </c>
      <c r="C60" s="22" t="s">
        <v>103</v>
      </c>
      <c r="D60" s="22" t="s">
        <v>120</v>
      </c>
      <c r="E60" s="22" t="s">
        <v>119</v>
      </c>
      <c r="F60" s="22" t="s">
        <v>531</v>
      </c>
      <c r="G60" s="22" t="s">
        <v>367</v>
      </c>
      <c r="H60" s="22">
        <f>SUMIF(Table1[Admin3_Pcode],Table5[[#This Row],[Admin3_Pcode]],Table1[30.04.2025 Individus])</f>
        <v>0</v>
      </c>
      <c r="I60" s="22">
        <f>SUMIF(Table4[Admin3_Pcode],Table5[[#This Row],[Admin3_Pcode]],Table4[30.04.2025 Individus])</f>
        <v>1051</v>
      </c>
      <c r="J60" s="23">
        <f>SUM(Table5[[#This Row],[Nbr PDI Sites
LR*]:[Nbr PDI Familles Accueil]])</f>
        <v>1051</v>
      </c>
    </row>
    <row r="61" spans="1:10" x14ac:dyDescent="0.3">
      <c r="A61" s="21">
        <v>55</v>
      </c>
      <c r="B61" s="22" t="s">
        <v>31</v>
      </c>
      <c r="C61" s="22" t="s">
        <v>30</v>
      </c>
      <c r="D61" s="22" t="s">
        <v>33</v>
      </c>
      <c r="E61" s="22" t="s">
        <v>32</v>
      </c>
      <c r="F61" s="22" t="s">
        <v>470</v>
      </c>
      <c r="G61" s="22" t="s">
        <v>325</v>
      </c>
      <c r="H61" s="22">
        <f>SUMIF(Table1[Admin3_Pcode],Table5[[#This Row],[Admin3_Pcode]],Table1[30.04.2025 Individus])</f>
        <v>0</v>
      </c>
      <c r="I61" s="22">
        <f>SUMIF(Table4[Admin3_Pcode],Table5[[#This Row],[Admin3_Pcode]],Table4[30.04.2025 Individus])</f>
        <v>208</v>
      </c>
      <c r="J61" s="23">
        <f>SUM(Table5[[#This Row],[Nbr PDI Sites
LR*]:[Nbr PDI Familles Accueil]])</f>
        <v>208</v>
      </c>
    </row>
    <row r="62" spans="1:10" x14ac:dyDescent="0.3">
      <c r="A62" s="21">
        <v>56</v>
      </c>
      <c r="B62" s="22" t="s">
        <v>31</v>
      </c>
      <c r="C62" s="22" t="s">
        <v>30</v>
      </c>
      <c r="D62" s="22" t="s">
        <v>33</v>
      </c>
      <c r="E62" s="22" t="s">
        <v>32</v>
      </c>
      <c r="F62" s="22" t="s">
        <v>469</v>
      </c>
      <c r="G62" s="22" t="s">
        <v>324</v>
      </c>
      <c r="H62" s="22">
        <f>SUMIF(Table1[Admin3_Pcode],Table5[[#This Row],[Admin3_Pcode]],Table1[30.04.2025 Individus])</f>
        <v>0</v>
      </c>
      <c r="I62" s="22">
        <f>SUMIF(Table4[Admin3_Pcode],Table5[[#This Row],[Admin3_Pcode]],Table4[30.04.2025 Individus])</f>
        <v>102</v>
      </c>
      <c r="J62" s="23">
        <f>SUM(Table5[[#This Row],[Nbr PDI Sites
LR*]:[Nbr PDI Familles Accueil]])</f>
        <v>102</v>
      </c>
    </row>
    <row r="63" spans="1:10" x14ac:dyDescent="0.3">
      <c r="A63" s="21">
        <v>57</v>
      </c>
      <c r="B63" s="22" t="s">
        <v>97</v>
      </c>
      <c r="C63" s="22" t="s">
        <v>96</v>
      </c>
      <c r="D63" s="22" t="s">
        <v>439</v>
      </c>
      <c r="E63" s="22" t="s">
        <v>290</v>
      </c>
      <c r="F63" s="22" t="s">
        <v>522</v>
      </c>
      <c r="G63" s="22" t="s">
        <v>290</v>
      </c>
      <c r="H63" s="22">
        <f>SUMIF(Table1[Admin3_Pcode],Table5[[#This Row],[Admin3_Pcode]],Table1[30.04.2025 Individus])</f>
        <v>0</v>
      </c>
      <c r="I63" s="22">
        <f>SUMIF(Table4[Admin3_Pcode],Table5[[#This Row],[Admin3_Pcode]],Table4[30.04.2025 Individus])</f>
        <v>3589</v>
      </c>
      <c r="J63" s="23">
        <f>SUM(Table5[[#This Row],[Nbr PDI Sites
LR*]:[Nbr PDI Familles Accueil]])</f>
        <v>3589</v>
      </c>
    </row>
    <row r="64" spans="1:10" x14ac:dyDescent="0.3">
      <c r="A64" s="21">
        <v>58</v>
      </c>
      <c r="B64" s="22" t="s">
        <v>185</v>
      </c>
      <c r="C64" s="22" t="s">
        <v>184</v>
      </c>
      <c r="D64" s="22" t="s">
        <v>405</v>
      </c>
      <c r="E64" s="22" t="s">
        <v>253</v>
      </c>
      <c r="F64" s="22" t="s">
        <v>542</v>
      </c>
      <c r="G64" s="22" t="s">
        <v>381</v>
      </c>
      <c r="H64" s="22">
        <f>SUMIF(Table1[Admin3_Pcode],Table5[[#This Row],[Admin3_Pcode]],Table1[30.04.2025 Individus])</f>
        <v>0</v>
      </c>
      <c r="I64" s="22">
        <f>SUMIF(Table4[Admin3_Pcode],Table5[[#This Row],[Admin3_Pcode]],Table4[30.04.2025 Individus])</f>
        <v>0</v>
      </c>
      <c r="J64" s="23">
        <f>SUM(Table5[[#This Row],[Nbr PDI Sites
LR*]:[Nbr PDI Familles Accueil]])</f>
        <v>0</v>
      </c>
    </row>
    <row r="65" spans="1:10" x14ac:dyDescent="0.3">
      <c r="A65" s="21">
        <v>59</v>
      </c>
      <c r="B65" s="22" t="s">
        <v>104</v>
      </c>
      <c r="C65" s="22" t="s">
        <v>103</v>
      </c>
      <c r="D65" s="22" t="s">
        <v>109</v>
      </c>
      <c r="E65" s="22" t="s">
        <v>108</v>
      </c>
      <c r="F65" s="22" t="s">
        <v>116</v>
      </c>
      <c r="G65" s="22" t="s">
        <v>115</v>
      </c>
      <c r="H65" s="22">
        <f>SUMIF(Table1[Admin3_Pcode],Table5[[#This Row],[Admin3_Pcode]],Table1[30.04.2025 Individus])</f>
        <v>2419</v>
      </c>
      <c r="I65" s="22">
        <f>SUMIF(Table4[Admin3_Pcode],Table5[[#This Row],[Admin3_Pcode]],Table4[30.04.2025 Individus])</f>
        <v>6661</v>
      </c>
      <c r="J65" s="23">
        <f>SUM(Table5[[#This Row],[Nbr PDI Sites
LR*]:[Nbr PDI Familles Accueil]])</f>
        <v>9080</v>
      </c>
    </row>
    <row r="66" spans="1:10" x14ac:dyDescent="0.3">
      <c r="A66" s="21">
        <v>60</v>
      </c>
      <c r="B66" s="22" t="s">
        <v>185</v>
      </c>
      <c r="C66" s="22" t="s">
        <v>184</v>
      </c>
      <c r="D66" s="22" t="s">
        <v>405</v>
      </c>
      <c r="E66" s="22" t="s">
        <v>253</v>
      </c>
      <c r="F66" s="22" t="s">
        <v>688</v>
      </c>
      <c r="G66" s="22" t="s">
        <v>706</v>
      </c>
      <c r="H66" s="22">
        <f>SUMIF(Table1[Admin3_Pcode],Table5[[#This Row],[Admin3_Pcode]],Table1[30.04.2025 Individus])</f>
        <v>0</v>
      </c>
      <c r="I66" s="22">
        <f>SUMIF(Table4[Admin3_Pcode],Table5[[#This Row],[Admin3_Pcode]],Table4[30.04.2025 Individus])</f>
        <v>0</v>
      </c>
      <c r="J66" s="23">
        <f>SUM(Table5[[#This Row],[Nbr PDI Sites
LR*]:[Nbr PDI Familles Accueil]])</f>
        <v>0</v>
      </c>
    </row>
    <row r="67" spans="1:10" x14ac:dyDescent="0.3">
      <c r="A67" s="21">
        <v>61</v>
      </c>
      <c r="B67" s="22" t="s">
        <v>2</v>
      </c>
      <c r="C67" s="22" t="s">
        <v>1</v>
      </c>
      <c r="D67" s="22" t="s">
        <v>4</v>
      </c>
      <c r="E67" s="22" t="s">
        <v>3</v>
      </c>
      <c r="F67" s="22" t="s">
        <v>6</v>
      </c>
      <c r="G67" s="22" t="s">
        <v>5</v>
      </c>
      <c r="H67" s="22">
        <f>SUMIF(Table1[Admin3_Pcode],Table5[[#This Row],[Admin3_Pcode]],Table1[30.04.2025 Individus])</f>
        <v>165</v>
      </c>
      <c r="I67" s="22">
        <f>SUMIF(Table4[Admin3_Pcode],Table5[[#This Row],[Admin3_Pcode]],Table4[30.04.2025 Individus])</f>
        <v>4435</v>
      </c>
      <c r="J67" s="23">
        <f>SUM(Table5[[#This Row],[Nbr PDI Sites
LR*]:[Nbr PDI Familles Accueil]])</f>
        <v>4600</v>
      </c>
    </row>
    <row r="68" spans="1:10" x14ac:dyDescent="0.3">
      <c r="A68" s="21">
        <v>62</v>
      </c>
      <c r="B68" s="22" t="s">
        <v>398</v>
      </c>
      <c r="C68" s="22" t="s">
        <v>246</v>
      </c>
      <c r="D68" s="22" t="s">
        <v>415</v>
      </c>
      <c r="E68" s="22" t="s">
        <v>263</v>
      </c>
      <c r="F68" s="22" t="s">
        <v>473</v>
      </c>
      <c r="G68" s="22" t="s">
        <v>327</v>
      </c>
      <c r="H68" s="22">
        <f>SUMIF(Table1[Admin3_Pcode],Table5[[#This Row],[Admin3_Pcode]],Table1[30.04.2025 Individus])</f>
        <v>0</v>
      </c>
      <c r="I68" s="22">
        <f>SUMIF(Table4[Admin3_Pcode],Table5[[#This Row],[Admin3_Pcode]],Table4[30.04.2025 Individus])</f>
        <v>2683</v>
      </c>
      <c r="J68" s="23">
        <f>SUM(Table5[[#This Row],[Nbr PDI Sites
LR*]:[Nbr PDI Familles Accueil]])</f>
        <v>2683</v>
      </c>
    </row>
    <row r="69" spans="1:10" x14ac:dyDescent="0.3">
      <c r="A69" s="21">
        <v>63</v>
      </c>
      <c r="B69" s="22" t="s">
        <v>605</v>
      </c>
      <c r="C69" s="22" t="s">
        <v>604</v>
      </c>
      <c r="D69" s="22" t="s">
        <v>672</v>
      </c>
      <c r="E69" s="22" t="s">
        <v>673</v>
      </c>
      <c r="F69" s="22" t="s">
        <v>652</v>
      </c>
      <c r="G69" s="22" t="s">
        <v>382</v>
      </c>
      <c r="H69" s="22">
        <f>SUMIF(Table1[Admin3_Pcode],Table5[[#This Row],[Admin3_Pcode]],Table1[30.04.2025 Individus])</f>
        <v>0</v>
      </c>
      <c r="I69" s="22">
        <f>SUMIF(Table4[Admin3_Pcode],Table5[[#This Row],[Admin3_Pcode]],Table4[30.04.2025 Individus])</f>
        <v>123</v>
      </c>
      <c r="J69" s="23">
        <f>SUM(Table5[[#This Row],[Nbr PDI Sites
LR*]:[Nbr PDI Familles Accueil]])</f>
        <v>123</v>
      </c>
    </row>
    <row r="70" spans="1:10" x14ac:dyDescent="0.3">
      <c r="A70" s="21">
        <v>64</v>
      </c>
      <c r="B70" s="22" t="s">
        <v>38</v>
      </c>
      <c r="C70" s="22" t="s">
        <v>37</v>
      </c>
      <c r="D70" s="22" t="s">
        <v>55</v>
      </c>
      <c r="E70" s="22" t="s">
        <v>54</v>
      </c>
      <c r="F70" s="22" t="s">
        <v>56</v>
      </c>
      <c r="G70" s="22" t="s">
        <v>54</v>
      </c>
      <c r="H70" s="22">
        <f>SUMIF(Table1[Admin3_Pcode],Table5[[#This Row],[Admin3_Pcode]],Table1[30.04.2025 Individus])</f>
        <v>210</v>
      </c>
      <c r="I70" s="22">
        <f>SUMIF(Table4[Admin3_Pcode],Table5[[#This Row],[Admin3_Pcode]],Table4[30.04.2025 Individus])</f>
        <v>246</v>
      </c>
      <c r="J70" s="23">
        <f>SUM(Table5[[#This Row],[Nbr PDI Sites
LR*]:[Nbr PDI Familles Accueil]])</f>
        <v>456</v>
      </c>
    </row>
    <row r="71" spans="1:10" x14ac:dyDescent="0.3">
      <c r="A71" s="21">
        <v>65</v>
      </c>
      <c r="B71" s="22" t="s">
        <v>401</v>
      </c>
      <c r="C71" s="22" t="s">
        <v>249</v>
      </c>
      <c r="D71" s="22" t="s">
        <v>433</v>
      </c>
      <c r="E71" s="22" t="s">
        <v>284</v>
      </c>
      <c r="F71" s="22" t="s">
        <v>514</v>
      </c>
      <c r="G71" s="22" t="s">
        <v>357</v>
      </c>
      <c r="H71" s="22">
        <f>SUMIF(Table1[Admin3_Pcode],Table5[[#This Row],[Admin3_Pcode]],Table1[30.04.2025 Individus])</f>
        <v>0</v>
      </c>
      <c r="I71" s="22">
        <f>SUMIF(Table4[Admin3_Pcode],Table5[[#This Row],[Admin3_Pcode]],Table4[30.04.2025 Individus])</f>
        <v>1184</v>
      </c>
      <c r="J71" s="23">
        <f>SUM(Table5[[#This Row],[Nbr PDI Sites
LR*]:[Nbr PDI Familles Accueil]])</f>
        <v>1184</v>
      </c>
    </row>
    <row r="72" spans="1:10" x14ac:dyDescent="0.3">
      <c r="A72" s="21">
        <v>66</v>
      </c>
      <c r="B72" s="22" t="s">
        <v>598</v>
      </c>
      <c r="C72" s="22" t="s">
        <v>597</v>
      </c>
      <c r="D72" s="22" t="s">
        <v>603</v>
      </c>
      <c r="E72" s="22" t="s">
        <v>156</v>
      </c>
      <c r="F72" s="22" t="s">
        <v>649</v>
      </c>
      <c r="G72" s="22" t="s">
        <v>377</v>
      </c>
      <c r="H72" s="22">
        <f>SUMIF(Table1[Admin3_Pcode],Table5[[#This Row],[Admin3_Pcode]],Table1[30.04.2025 Individus])</f>
        <v>0</v>
      </c>
      <c r="I72" s="22">
        <f>SUMIF(Table4[Admin3_Pcode],Table5[[#This Row],[Admin3_Pcode]],Table4[30.04.2025 Individus])</f>
        <v>1685</v>
      </c>
      <c r="J72" s="23">
        <f>SUM(Table5[[#This Row],[Nbr PDI Sites
LR*]:[Nbr PDI Familles Accueil]])</f>
        <v>1685</v>
      </c>
    </row>
    <row r="73" spans="1:10" x14ac:dyDescent="0.3">
      <c r="A73" s="21">
        <v>67</v>
      </c>
      <c r="B73" s="22" t="s">
        <v>401</v>
      </c>
      <c r="C73" s="22" t="s">
        <v>249</v>
      </c>
      <c r="D73" s="22" t="s">
        <v>434</v>
      </c>
      <c r="E73" s="22" t="s">
        <v>285</v>
      </c>
      <c r="F73" s="22" t="s">
        <v>511</v>
      </c>
      <c r="G73" s="22" t="s">
        <v>354</v>
      </c>
      <c r="H73" s="22">
        <f>SUMIF(Table1[Admin3_Pcode],Table5[[#This Row],[Admin3_Pcode]],Table1[30.04.2025 Individus])</f>
        <v>0</v>
      </c>
      <c r="I73" s="22">
        <f>SUMIF(Table4[Admin3_Pcode],Table5[[#This Row],[Admin3_Pcode]],Table4[30.04.2025 Individus])</f>
        <v>988</v>
      </c>
      <c r="J73" s="23">
        <f>SUM(Table5[[#This Row],[Nbr PDI Sites
LR*]:[Nbr PDI Familles Accueil]])</f>
        <v>988</v>
      </c>
    </row>
    <row r="74" spans="1:10" x14ac:dyDescent="0.3">
      <c r="A74" s="21">
        <v>68</v>
      </c>
      <c r="B74" s="22" t="s">
        <v>398</v>
      </c>
      <c r="C74" s="22" t="s">
        <v>246</v>
      </c>
      <c r="D74" s="22" t="s">
        <v>417</v>
      </c>
      <c r="E74" s="22" t="s">
        <v>265</v>
      </c>
      <c r="F74" s="22" t="s">
        <v>477</v>
      </c>
      <c r="G74" s="22" t="s">
        <v>330</v>
      </c>
      <c r="H74" s="22">
        <f>SUMIF(Table1[Admin3_Pcode],Table5[[#This Row],[Admin3_Pcode]],Table1[30.04.2025 Individus])</f>
        <v>0</v>
      </c>
      <c r="I74" s="22">
        <f>SUMIF(Table4[Admin3_Pcode],Table5[[#This Row],[Admin3_Pcode]],Table4[30.04.2025 Individus])</f>
        <v>1489</v>
      </c>
      <c r="J74" s="23">
        <f>SUM(Table5[[#This Row],[Nbr PDI Sites
LR*]:[Nbr PDI Familles Accueil]])</f>
        <v>1489</v>
      </c>
    </row>
    <row r="75" spans="1:10" x14ac:dyDescent="0.3">
      <c r="A75" s="21">
        <v>69</v>
      </c>
      <c r="B75" s="22" t="s">
        <v>398</v>
      </c>
      <c r="C75" s="22" t="s">
        <v>246</v>
      </c>
      <c r="D75" s="22" t="s">
        <v>417</v>
      </c>
      <c r="E75" s="22" t="s">
        <v>265</v>
      </c>
      <c r="F75" s="22" t="s">
        <v>478</v>
      </c>
      <c r="G75" s="22" t="s">
        <v>331</v>
      </c>
      <c r="H75" s="22">
        <f>SUMIF(Table1[Admin3_Pcode],Table5[[#This Row],[Admin3_Pcode]],Table1[30.04.2025 Individus])</f>
        <v>0</v>
      </c>
      <c r="I75" s="22">
        <f>SUMIF(Table4[Admin3_Pcode],Table5[[#This Row],[Admin3_Pcode]],Table4[30.04.2025 Individus])</f>
        <v>2168</v>
      </c>
      <c r="J75" s="23">
        <f>SUM(Table5[[#This Row],[Nbr PDI Sites
LR*]:[Nbr PDI Familles Accueil]])</f>
        <v>2168</v>
      </c>
    </row>
    <row r="76" spans="1:10" x14ac:dyDescent="0.3">
      <c r="A76" s="21">
        <v>70</v>
      </c>
      <c r="B76" s="22" t="s">
        <v>59</v>
      </c>
      <c r="C76" s="22" t="s">
        <v>58</v>
      </c>
      <c r="D76" s="22" t="s">
        <v>429</v>
      </c>
      <c r="E76" s="22" t="s">
        <v>280</v>
      </c>
      <c r="F76" s="22" t="s">
        <v>499</v>
      </c>
      <c r="G76" s="22" t="s">
        <v>280</v>
      </c>
      <c r="H76" s="22">
        <f>SUMIF(Table1[Admin3_Pcode],Table5[[#This Row],[Admin3_Pcode]],Table1[30.04.2025 Individus])</f>
        <v>0</v>
      </c>
      <c r="I76" s="22">
        <f>SUMIF(Table4[Admin3_Pcode],Table5[[#This Row],[Admin3_Pcode]],Table4[30.04.2025 Individus])</f>
        <v>585</v>
      </c>
      <c r="J76" s="23">
        <f>SUM(Table5[[#This Row],[Nbr PDI Sites
LR*]:[Nbr PDI Familles Accueil]])</f>
        <v>585</v>
      </c>
    </row>
    <row r="77" spans="1:10" x14ac:dyDescent="0.3">
      <c r="A77" s="21">
        <v>71</v>
      </c>
      <c r="B77" s="22" t="s">
        <v>401</v>
      </c>
      <c r="C77" s="22" t="s">
        <v>249</v>
      </c>
      <c r="D77" s="22" t="s">
        <v>434</v>
      </c>
      <c r="E77" s="22" t="s">
        <v>285</v>
      </c>
      <c r="F77" s="22" t="s">
        <v>689</v>
      </c>
      <c r="G77" s="22" t="s">
        <v>707</v>
      </c>
      <c r="H77" s="22">
        <f>SUMIF(Table1[Admin3_Pcode],Table5[[#This Row],[Admin3_Pcode]],Table1[30.04.2025 Individus])</f>
        <v>0</v>
      </c>
      <c r="I77" s="22">
        <f>SUMIF(Table4[Admin3_Pcode],Table5[[#This Row],[Admin3_Pcode]],Table4[30.04.2025 Individus])</f>
        <v>0</v>
      </c>
      <c r="J77" s="23">
        <f>SUM(Table5[[#This Row],[Nbr PDI Sites
LR*]:[Nbr PDI Familles Accueil]])</f>
        <v>0</v>
      </c>
    </row>
    <row r="78" spans="1:10" x14ac:dyDescent="0.3">
      <c r="A78" s="21">
        <v>72</v>
      </c>
      <c r="B78" s="22" t="s">
        <v>104</v>
      </c>
      <c r="C78" s="22" t="s">
        <v>103</v>
      </c>
      <c r="D78" s="22" t="s">
        <v>441</v>
      </c>
      <c r="E78" s="22" t="s">
        <v>292</v>
      </c>
      <c r="F78" s="22" t="s">
        <v>526</v>
      </c>
      <c r="G78" s="22" t="s">
        <v>292</v>
      </c>
      <c r="H78" s="22">
        <f>SUMIF(Table1[Admin3_Pcode],Table5[[#This Row],[Admin3_Pcode]],Table1[30.04.2025 Individus])</f>
        <v>0</v>
      </c>
      <c r="I78" s="22">
        <f>SUMIF(Table4[Admin3_Pcode],Table5[[#This Row],[Admin3_Pcode]],Table4[30.04.2025 Individus])</f>
        <v>0</v>
      </c>
      <c r="J78" s="23">
        <f>SUM(Table5[[#This Row],[Nbr PDI Sites
LR*]:[Nbr PDI Familles Accueil]])</f>
        <v>0</v>
      </c>
    </row>
    <row r="79" spans="1:10" x14ac:dyDescent="0.3">
      <c r="A79" s="21">
        <v>73</v>
      </c>
      <c r="B79" s="22" t="s">
        <v>76</v>
      </c>
      <c r="C79" s="22" t="s">
        <v>75</v>
      </c>
      <c r="D79" s="22" t="s">
        <v>78</v>
      </c>
      <c r="E79" s="22" t="s">
        <v>77</v>
      </c>
      <c r="F79" s="22" t="s">
        <v>83</v>
      </c>
      <c r="G79" s="22" t="s">
        <v>82</v>
      </c>
      <c r="H79" s="22">
        <f>SUMIF(Table1[Admin3_Pcode],Table5[[#This Row],[Admin3_Pcode]],Table1[30.04.2025 Individus])</f>
        <v>5887</v>
      </c>
      <c r="I79" s="22">
        <f>SUMIF(Table4[Admin3_Pcode],Table5[[#This Row],[Admin3_Pcode]],Table4[30.04.2025 Individus])</f>
        <v>799</v>
      </c>
      <c r="J79" s="23">
        <f>SUM(Table5[[#This Row],[Nbr PDI Sites
LR*]:[Nbr PDI Familles Accueil]])</f>
        <v>6686</v>
      </c>
    </row>
    <row r="80" spans="1:10" x14ac:dyDescent="0.3">
      <c r="A80" s="21">
        <v>74</v>
      </c>
      <c r="B80" s="22" t="s">
        <v>97</v>
      </c>
      <c r="C80" s="22" t="s">
        <v>96</v>
      </c>
      <c r="D80" s="22" t="s">
        <v>440</v>
      </c>
      <c r="E80" s="22" t="s">
        <v>291</v>
      </c>
      <c r="F80" s="22" t="s">
        <v>523</v>
      </c>
      <c r="G80" s="22" t="s">
        <v>362</v>
      </c>
      <c r="H80" s="22">
        <f>SUMIF(Table1[Admin3_Pcode],Table5[[#This Row],[Admin3_Pcode]],Table1[30.04.2025 Individus])</f>
        <v>0</v>
      </c>
      <c r="I80" s="22">
        <f>SUMIF(Table4[Admin3_Pcode],Table5[[#This Row],[Admin3_Pcode]],Table4[30.04.2025 Individus])</f>
        <v>2875</v>
      </c>
      <c r="J80" s="23">
        <f>SUM(Table5[[#This Row],[Nbr PDI Sites
LR*]:[Nbr PDI Familles Accueil]])</f>
        <v>2875</v>
      </c>
    </row>
    <row r="81" spans="1:10" x14ac:dyDescent="0.3">
      <c r="A81" s="21">
        <v>75</v>
      </c>
      <c r="B81" s="22" t="s">
        <v>398</v>
      </c>
      <c r="C81" s="22" t="s">
        <v>246</v>
      </c>
      <c r="D81" s="22" t="s">
        <v>415</v>
      </c>
      <c r="E81" s="22" t="s">
        <v>263</v>
      </c>
      <c r="F81" s="22" t="s">
        <v>475</v>
      </c>
      <c r="G81" s="22" t="s">
        <v>329</v>
      </c>
      <c r="H81" s="22">
        <f>SUMIF(Table1[Admin3_Pcode],Table5[[#This Row],[Admin3_Pcode]],Table1[30.04.2025 Individus])</f>
        <v>0</v>
      </c>
      <c r="I81" s="22">
        <f>SUMIF(Table4[Admin3_Pcode],Table5[[#This Row],[Admin3_Pcode]],Table4[30.04.2025 Individus])</f>
        <v>661</v>
      </c>
      <c r="J81" s="23">
        <f>SUM(Table5[[#This Row],[Nbr PDI Sites
LR*]:[Nbr PDI Familles Accueil]])</f>
        <v>661</v>
      </c>
    </row>
    <row r="82" spans="1:10" x14ac:dyDescent="0.3">
      <c r="A82" s="21">
        <v>76</v>
      </c>
      <c r="B82" s="22" t="s">
        <v>19</v>
      </c>
      <c r="C82" s="22" t="s">
        <v>18</v>
      </c>
      <c r="D82" s="22" t="s">
        <v>21</v>
      </c>
      <c r="E82" s="22" t="s">
        <v>20</v>
      </c>
      <c r="F82" s="22" t="s">
        <v>457</v>
      </c>
      <c r="G82" s="22" t="s">
        <v>314</v>
      </c>
      <c r="H82" s="22">
        <f>SUMIF(Table1[Admin3_Pcode],Table5[[#This Row],[Admin3_Pcode]],Table1[30.04.2025 Individus])</f>
        <v>0</v>
      </c>
      <c r="I82" s="22">
        <f>SUMIF(Table4[Admin3_Pcode],Table5[[#This Row],[Admin3_Pcode]],Table4[30.04.2025 Individus])</f>
        <v>0</v>
      </c>
      <c r="J82" s="23">
        <f>SUM(Table5[[#This Row],[Nbr PDI Sites
LR*]:[Nbr PDI Familles Accueil]])</f>
        <v>0</v>
      </c>
    </row>
    <row r="83" spans="1:10" x14ac:dyDescent="0.3">
      <c r="A83" s="21">
        <v>77</v>
      </c>
      <c r="B83" s="22" t="s">
        <v>598</v>
      </c>
      <c r="C83" s="22" t="s">
        <v>597</v>
      </c>
      <c r="D83" s="22" t="s">
        <v>601</v>
      </c>
      <c r="E83" s="22" t="s">
        <v>136</v>
      </c>
      <c r="F83" s="22" t="s">
        <v>647</v>
      </c>
      <c r="G83" s="22" t="s">
        <v>370</v>
      </c>
      <c r="H83" s="22">
        <f>SUMIF(Table1[Admin3_Pcode],Table5[[#This Row],[Admin3_Pcode]],Table1[30.04.2025 Individus])</f>
        <v>0</v>
      </c>
      <c r="I83" s="22">
        <f>SUMIF(Table4[Admin3_Pcode],Table5[[#This Row],[Admin3_Pcode]],Table4[30.04.2025 Individus])</f>
        <v>1245</v>
      </c>
      <c r="J83" s="23">
        <f>SUM(Table5[[#This Row],[Nbr PDI Sites
LR*]:[Nbr PDI Familles Accueil]])</f>
        <v>1245</v>
      </c>
    </row>
    <row r="84" spans="1:10" x14ac:dyDescent="0.3">
      <c r="A84" s="21">
        <v>78</v>
      </c>
      <c r="B84" s="22" t="s">
        <v>104</v>
      </c>
      <c r="C84" s="22" t="s">
        <v>103</v>
      </c>
      <c r="D84" s="22" t="s">
        <v>109</v>
      </c>
      <c r="E84" s="22" t="s">
        <v>108</v>
      </c>
      <c r="F84" s="22" t="s">
        <v>532</v>
      </c>
      <c r="G84" s="22" t="s">
        <v>368</v>
      </c>
      <c r="H84" s="22">
        <f>SUMIF(Table1[Admin3_Pcode],Table5[[#This Row],[Admin3_Pcode]],Table1[30.04.2025 Individus])</f>
        <v>0</v>
      </c>
      <c r="I84" s="22">
        <f>SUMIF(Table4[Admin3_Pcode],Table5[[#This Row],[Admin3_Pcode]],Table4[30.04.2025 Individus])</f>
        <v>97</v>
      </c>
      <c r="J84" s="23">
        <f>SUM(Table5[[#This Row],[Nbr PDI Sites
LR*]:[Nbr PDI Familles Accueil]])</f>
        <v>97</v>
      </c>
    </row>
    <row r="85" spans="1:10" x14ac:dyDescent="0.3">
      <c r="A85" s="21">
        <v>79</v>
      </c>
      <c r="B85" s="22" t="s">
        <v>400</v>
      </c>
      <c r="C85" s="22" t="s">
        <v>248</v>
      </c>
      <c r="D85" s="22" t="s">
        <v>424</v>
      </c>
      <c r="E85" s="22" t="s">
        <v>273</v>
      </c>
      <c r="F85" s="22" t="s">
        <v>491</v>
      </c>
      <c r="G85" s="22" t="s">
        <v>338</v>
      </c>
      <c r="H85" s="22">
        <f>SUMIF(Table1[Admin3_Pcode],Table5[[#This Row],[Admin3_Pcode]],Table1[30.04.2025 Individus])</f>
        <v>0</v>
      </c>
      <c r="I85" s="22">
        <f>SUMIF(Table4[Admin3_Pcode],Table5[[#This Row],[Admin3_Pcode]],Table4[30.04.2025 Individus])</f>
        <v>197</v>
      </c>
      <c r="J85" s="23">
        <f>SUM(Table5[[#This Row],[Nbr PDI Sites
LR*]:[Nbr PDI Familles Accueil]])</f>
        <v>197</v>
      </c>
    </row>
    <row r="86" spans="1:10" x14ac:dyDescent="0.3">
      <c r="A86" s="21">
        <v>80</v>
      </c>
      <c r="B86" s="22" t="s">
        <v>607</v>
      </c>
      <c r="C86" s="22" t="s">
        <v>606</v>
      </c>
      <c r="D86" s="22" t="s">
        <v>609</v>
      </c>
      <c r="E86" s="22" t="s">
        <v>272</v>
      </c>
      <c r="F86" s="22" t="s">
        <v>640</v>
      </c>
      <c r="G86" s="22" t="s">
        <v>630</v>
      </c>
      <c r="H86" s="22">
        <f>SUMIF(Table1[Admin3_Pcode],Table5[[#This Row],[Admin3_Pcode]],Table1[30.04.2025 Individus])</f>
        <v>0</v>
      </c>
      <c r="I86" s="22">
        <f>SUMIF(Table4[Admin3_Pcode],Table5[[#This Row],[Admin3_Pcode]],Table4[30.04.2025 Individus])</f>
        <v>1189</v>
      </c>
      <c r="J86" s="23">
        <f>SUM(Table5[[#This Row],[Nbr PDI Sites
LR*]:[Nbr PDI Familles Accueil]])</f>
        <v>1189</v>
      </c>
    </row>
    <row r="87" spans="1:10" x14ac:dyDescent="0.3">
      <c r="A87" s="21">
        <v>81</v>
      </c>
      <c r="B87" s="22" t="s">
        <v>400</v>
      </c>
      <c r="C87" s="22" t="s">
        <v>248</v>
      </c>
      <c r="D87" s="22" t="s">
        <v>425</v>
      </c>
      <c r="E87" s="22" t="s">
        <v>275</v>
      </c>
      <c r="F87" s="22" t="s">
        <v>493</v>
      </c>
      <c r="G87" s="22" t="s">
        <v>340</v>
      </c>
      <c r="H87" s="22">
        <f>SUMIF(Table1[Admin3_Pcode],Table5[[#This Row],[Admin3_Pcode]],Table1[30.04.2025 Individus])</f>
        <v>0</v>
      </c>
      <c r="I87" s="22">
        <f>SUMIF(Table4[Admin3_Pcode],Table5[[#This Row],[Admin3_Pcode]],Table4[30.04.2025 Individus])</f>
        <v>20</v>
      </c>
      <c r="J87" s="23">
        <f>SUM(Table5[[#This Row],[Nbr PDI Sites
LR*]:[Nbr PDI Familles Accueil]])</f>
        <v>20</v>
      </c>
    </row>
    <row r="88" spans="1:10" x14ac:dyDescent="0.3">
      <c r="A88" s="21">
        <v>82</v>
      </c>
      <c r="B88" s="22" t="s">
        <v>401</v>
      </c>
      <c r="C88" s="22" t="s">
        <v>249</v>
      </c>
      <c r="D88" s="22" t="s">
        <v>433</v>
      </c>
      <c r="E88" s="22" t="s">
        <v>284</v>
      </c>
      <c r="F88" s="22" t="s">
        <v>517</v>
      </c>
      <c r="G88" s="22" t="s">
        <v>360</v>
      </c>
      <c r="H88" s="22">
        <f>SUMIF(Table1[Admin3_Pcode],Table5[[#This Row],[Admin3_Pcode]],Table1[30.04.2025 Individus])</f>
        <v>0</v>
      </c>
      <c r="I88" s="22">
        <f>SUMIF(Table4[Admin3_Pcode],Table5[[#This Row],[Admin3_Pcode]],Table4[30.04.2025 Individus])</f>
        <v>1836</v>
      </c>
      <c r="J88" s="23">
        <f>SUM(Table5[[#This Row],[Nbr PDI Sites
LR*]:[Nbr PDI Familles Accueil]])</f>
        <v>1836</v>
      </c>
    </row>
    <row r="89" spans="1:10" x14ac:dyDescent="0.3">
      <c r="A89" s="21">
        <v>83</v>
      </c>
      <c r="B89" s="22" t="s">
        <v>104</v>
      </c>
      <c r="C89" s="22" t="s">
        <v>103</v>
      </c>
      <c r="D89" s="22" t="s">
        <v>130</v>
      </c>
      <c r="E89" s="22" t="s">
        <v>129</v>
      </c>
      <c r="F89" s="22" t="s">
        <v>206</v>
      </c>
      <c r="G89" s="22" t="s">
        <v>129</v>
      </c>
      <c r="H89" s="22">
        <f>SUMIF(Table1[Admin3_Pcode],Table5[[#This Row],[Admin3_Pcode]],Table1[30.04.2025 Individus])</f>
        <v>2363</v>
      </c>
      <c r="I89" s="22">
        <f>SUMIF(Table4[Admin3_Pcode],Table5[[#This Row],[Admin3_Pcode]],Table4[30.04.2025 Individus])</f>
        <v>16758</v>
      </c>
      <c r="J89" s="23">
        <f>SUM(Table5[[#This Row],[Nbr PDI Sites
LR*]:[Nbr PDI Familles Accueil]])</f>
        <v>19121</v>
      </c>
    </row>
    <row r="90" spans="1:10" x14ac:dyDescent="0.3">
      <c r="A90" s="21">
        <v>84</v>
      </c>
      <c r="B90" s="22" t="s">
        <v>76</v>
      </c>
      <c r="C90" s="22" t="s">
        <v>75</v>
      </c>
      <c r="D90" s="22" t="s">
        <v>78</v>
      </c>
      <c r="E90" s="22" t="s">
        <v>77</v>
      </c>
      <c r="F90" s="22" t="s">
        <v>79</v>
      </c>
      <c r="G90" s="22" t="s">
        <v>77</v>
      </c>
      <c r="H90" s="22">
        <f>SUMIF(Table1[Admin3_Pcode],Table5[[#This Row],[Admin3_Pcode]],Table1[30.04.2025 Individus])</f>
        <v>851</v>
      </c>
      <c r="I90" s="22">
        <f>SUMIF(Table4[Admin3_Pcode],Table5[[#This Row],[Admin3_Pcode]],Table4[30.04.2025 Individus])</f>
        <v>3515</v>
      </c>
      <c r="J90" s="23">
        <f>SUM(Table5[[#This Row],[Nbr PDI Sites
LR*]:[Nbr PDI Familles Accueil]])</f>
        <v>4366</v>
      </c>
    </row>
    <row r="91" spans="1:10" x14ac:dyDescent="0.3">
      <c r="A91" s="21">
        <v>85</v>
      </c>
      <c r="B91" s="22" t="s">
        <v>19</v>
      </c>
      <c r="C91" s="22" t="s">
        <v>18</v>
      </c>
      <c r="D91" s="22" t="s">
        <v>407</v>
      </c>
      <c r="E91" s="22" t="s">
        <v>255</v>
      </c>
      <c r="F91" s="22" t="s">
        <v>460</v>
      </c>
      <c r="G91" s="22" t="s">
        <v>255</v>
      </c>
      <c r="H91" s="22">
        <f>SUMIF(Table1[Admin3_Pcode],Table5[[#This Row],[Admin3_Pcode]],Table1[30.04.2025 Individus])</f>
        <v>0</v>
      </c>
      <c r="I91" s="22">
        <f>SUMIF(Table4[Admin3_Pcode],Table5[[#This Row],[Admin3_Pcode]],Table4[30.04.2025 Individus])</f>
        <v>345</v>
      </c>
      <c r="J91" s="23">
        <f>SUM(Table5[[#This Row],[Nbr PDI Sites
LR*]:[Nbr PDI Familles Accueil]])</f>
        <v>345</v>
      </c>
    </row>
    <row r="92" spans="1:10" x14ac:dyDescent="0.3">
      <c r="A92" s="21">
        <v>86</v>
      </c>
      <c r="B92" s="22" t="s">
        <v>104</v>
      </c>
      <c r="C92" s="22" t="s">
        <v>103</v>
      </c>
      <c r="D92" s="22" t="s">
        <v>441</v>
      </c>
      <c r="E92" s="22" t="s">
        <v>292</v>
      </c>
      <c r="F92" s="22" t="s">
        <v>690</v>
      </c>
      <c r="G92" s="22" t="s">
        <v>708</v>
      </c>
      <c r="H92" s="22">
        <f>SUMIF(Table1[Admin3_Pcode],Table5[[#This Row],[Admin3_Pcode]],Table1[30.04.2025 Individus])</f>
        <v>0</v>
      </c>
      <c r="I92" s="22">
        <f>SUMIF(Table4[Admin3_Pcode],Table5[[#This Row],[Admin3_Pcode]],Table4[30.04.2025 Individus])</f>
        <v>0</v>
      </c>
      <c r="J92" s="23">
        <f>SUM(Table5[[#This Row],[Nbr PDI Sites
LR*]:[Nbr PDI Familles Accueil]])</f>
        <v>0</v>
      </c>
    </row>
    <row r="93" spans="1:10" x14ac:dyDescent="0.3">
      <c r="A93" s="21">
        <v>87</v>
      </c>
      <c r="B93" s="22" t="s">
        <v>605</v>
      </c>
      <c r="C93" s="22" t="s">
        <v>604</v>
      </c>
      <c r="D93" s="22" t="s">
        <v>614</v>
      </c>
      <c r="E93" s="22" t="s">
        <v>384</v>
      </c>
      <c r="F93" s="22" t="s">
        <v>654</v>
      </c>
      <c r="G93" s="22" t="s">
        <v>384</v>
      </c>
      <c r="H93" s="22">
        <f>SUMIF(Table1[Admin3_Pcode],Table5[[#This Row],[Admin3_Pcode]],Table1[30.04.2025 Individus])</f>
        <v>0</v>
      </c>
      <c r="I93" s="22">
        <f>SUMIF(Table4[Admin3_Pcode],Table5[[#This Row],[Admin3_Pcode]],Table4[30.04.2025 Individus])</f>
        <v>0</v>
      </c>
      <c r="J93" s="23">
        <f>SUM(Table5[[#This Row],[Nbr PDI Sites
LR*]:[Nbr PDI Familles Accueil]])</f>
        <v>0</v>
      </c>
    </row>
    <row r="94" spans="1:10" x14ac:dyDescent="0.3">
      <c r="A94" s="21">
        <v>88</v>
      </c>
      <c r="B94" s="22" t="s">
        <v>135</v>
      </c>
      <c r="C94" s="22" t="s">
        <v>134</v>
      </c>
      <c r="D94" s="22" t="s">
        <v>181</v>
      </c>
      <c r="E94" s="22" t="s">
        <v>180</v>
      </c>
      <c r="F94" s="22" t="s">
        <v>536</v>
      </c>
      <c r="G94" s="22" t="s">
        <v>375</v>
      </c>
      <c r="H94" s="22">
        <f>SUMIF(Table1[Admin3_Pcode],Table5[[#This Row],[Admin3_Pcode]],Table1[30.04.2025 Individus])</f>
        <v>0</v>
      </c>
      <c r="I94" s="22">
        <f>SUMIF(Table4[Admin3_Pcode],Table5[[#This Row],[Admin3_Pcode]],Table4[30.04.2025 Individus])</f>
        <v>1459</v>
      </c>
      <c r="J94" s="23">
        <f>SUM(Table5[[#This Row],[Nbr PDI Sites
LR*]:[Nbr PDI Familles Accueil]])</f>
        <v>1459</v>
      </c>
    </row>
    <row r="95" spans="1:10" x14ac:dyDescent="0.3">
      <c r="A95" s="21">
        <v>89</v>
      </c>
      <c r="B95" s="22" t="s">
        <v>19</v>
      </c>
      <c r="C95" s="22" t="s">
        <v>18</v>
      </c>
      <c r="D95" s="22" t="s">
        <v>409</v>
      </c>
      <c r="E95" s="22" t="s">
        <v>257</v>
      </c>
      <c r="F95" s="22" t="s">
        <v>464</v>
      </c>
      <c r="G95" s="22" t="s">
        <v>319</v>
      </c>
      <c r="H95" s="22">
        <f>SUMIF(Table1[Admin3_Pcode],Table5[[#This Row],[Admin3_Pcode]],Table1[30.04.2025 Individus])</f>
        <v>0</v>
      </c>
      <c r="I95" s="22">
        <f>SUMIF(Table4[Admin3_Pcode],Table5[[#This Row],[Admin3_Pcode]],Table4[30.04.2025 Individus])</f>
        <v>250</v>
      </c>
      <c r="J95" s="23">
        <f>SUM(Table5[[#This Row],[Nbr PDI Sites
LR*]:[Nbr PDI Familles Accueil]])</f>
        <v>250</v>
      </c>
    </row>
    <row r="96" spans="1:10" x14ac:dyDescent="0.3">
      <c r="A96" s="21">
        <v>90</v>
      </c>
      <c r="B96" s="22" t="s">
        <v>19</v>
      </c>
      <c r="C96" s="22" t="s">
        <v>18</v>
      </c>
      <c r="D96" s="22" t="s">
        <v>410</v>
      </c>
      <c r="E96" s="22" t="s">
        <v>258</v>
      </c>
      <c r="F96" s="22" t="s">
        <v>465</v>
      </c>
      <c r="G96" s="22" t="s">
        <v>320</v>
      </c>
      <c r="H96" s="22">
        <f>SUMIF(Table1[Admin3_Pcode],Table5[[#This Row],[Admin3_Pcode]],Table1[30.04.2025 Individus])</f>
        <v>0</v>
      </c>
      <c r="I96" s="22">
        <f>SUMIF(Table4[Admin3_Pcode],Table5[[#This Row],[Admin3_Pcode]],Table4[30.04.2025 Individus])</f>
        <v>988</v>
      </c>
      <c r="J96" s="23">
        <f>SUM(Table5[[#This Row],[Nbr PDI Sites
LR*]:[Nbr PDI Familles Accueil]])</f>
        <v>988</v>
      </c>
    </row>
    <row r="97" spans="1:10" x14ac:dyDescent="0.3">
      <c r="A97" s="21">
        <v>91</v>
      </c>
      <c r="B97" s="22" t="s">
        <v>104</v>
      </c>
      <c r="C97" s="22" t="s">
        <v>103</v>
      </c>
      <c r="D97" s="22" t="s">
        <v>120</v>
      </c>
      <c r="E97" s="22" t="s">
        <v>119</v>
      </c>
      <c r="F97" s="22" t="s">
        <v>530</v>
      </c>
      <c r="G97" s="22" t="s">
        <v>119</v>
      </c>
      <c r="H97" s="22">
        <f>SUMIF(Table1[Admin3_Pcode],Table5[[#This Row],[Admin3_Pcode]],Table1[30.04.2025 Individus])</f>
        <v>0</v>
      </c>
      <c r="I97" s="22">
        <f>SUMIF(Table4[Admin3_Pcode],Table5[[#This Row],[Admin3_Pcode]],Table4[30.04.2025 Individus])</f>
        <v>1855</v>
      </c>
      <c r="J97" s="23">
        <f>SUM(Table5[[#This Row],[Nbr PDI Sites
LR*]:[Nbr PDI Familles Accueil]])</f>
        <v>1855</v>
      </c>
    </row>
    <row r="98" spans="1:10" x14ac:dyDescent="0.3">
      <c r="A98" s="21">
        <v>92</v>
      </c>
      <c r="B98" s="22" t="s">
        <v>185</v>
      </c>
      <c r="C98" s="22" t="s">
        <v>184</v>
      </c>
      <c r="D98" s="22" t="s">
        <v>405</v>
      </c>
      <c r="E98" s="22" t="s">
        <v>253</v>
      </c>
      <c r="F98" s="22" t="s">
        <v>544</v>
      </c>
      <c r="G98" s="22" t="s">
        <v>391</v>
      </c>
      <c r="H98" s="22">
        <f>SUMIF(Table1[Admin3_Pcode],Table5[[#This Row],[Admin3_Pcode]],Table1[30.04.2025 Individus])</f>
        <v>0</v>
      </c>
      <c r="I98" s="22">
        <f>SUMIF(Table4[Admin3_Pcode],Table5[[#This Row],[Admin3_Pcode]],Table4[30.04.2025 Individus])</f>
        <v>0</v>
      </c>
      <c r="J98" s="23">
        <f>SUM(Table5[[#This Row],[Nbr PDI Sites
LR*]:[Nbr PDI Familles Accueil]])</f>
        <v>0</v>
      </c>
    </row>
    <row r="99" spans="1:10" x14ac:dyDescent="0.3">
      <c r="A99" s="21">
        <v>93</v>
      </c>
      <c r="B99" s="22" t="s">
        <v>104</v>
      </c>
      <c r="C99" s="22" t="s">
        <v>103</v>
      </c>
      <c r="D99" s="22" t="s">
        <v>106</v>
      </c>
      <c r="E99" s="22" t="s">
        <v>105</v>
      </c>
      <c r="F99" s="22" t="s">
        <v>525</v>
      </c>
      <c r="G99" s="22" t="s">
        <v>363</v>
      </c>
      <c r="H99" s="22">
        <f>SUMIF(Table1[Admin3_Pcode],Table5[[#This Row],[Admin3_Pcode]],Table1[30.04.2025 Individus])</f>
        <v>150</v>
      </c>
      <c r="I99" s="22">
        <f>SUMIF(Table4[Admin3_Pcode],Table5[[#This Row],[Admin3_Pcode]],Table4[30.04.2025 Individus])</f>
        <v>93</v>
      </c>
      <c r="J99" s="23">
        <f>SUM(Table5[[#This Row],[Nbr PDI Sites
LR*]:[Nbr PDI Familles Accueil]])</f>
        <v>243</v>
      </c>
    </row>
    <row r="100" spans="1:10" x14ac:dyDescent="0.3">
      <c r="A100" s="21">
        <v>94</v>
      </c>
      <c r="B100" s="22" t="s">
        <v>185</v>
      </c>
      <c r="C100" s="22" t="s">
        <v>184</v>
      </c>
      <c r="D100" s="22" t="s">
        <v>444</v>
      </c>
      <c r="E100" s="22" t="s">
        <v>295</v>
      </c>
      <c r="F100" s="22" t="s">
        <v>543</v>
      </c>
      <c r="G100" s="22" t="s">
        <v>295</v>
      </c>
      <c r="H100" s="22">
        <f>SUMIF(Table1[Admin3_Pcode],Table5[[#This Row],[Admin3_Pcode]],Table1[30.04.2025 Individus])</f>
        <v>0</v>
      </c>
      <c r="I100" s="22">
        <f>SUMIF(Table4[Admin3_Pcode],Table5[[#This Row],[Admin3_Pcode]],Table4[30.04.2025 Individus])</f>
        <v>876</v>
      </c>
      <c r="J100" s="23">
        <f>SUM(Table5[[#This Row],[Nbr PDI Sites
LR*]:[Nbr PDI Familles Accueil]])</f>
        <v>876</v>
      </c>
    </row>
    <row r="101" spans="1:10" x14ac:dyDescent="0.3">
      <c r="A101" s="21">
        <v>95</v>
      </c>
      <c r="B101" s="22" t="s">
        <v>401</v>
      </c>
      <c r="C101" s="22" t="s">
        <v>249</v>
      </c>
      <c r="D101" s="22" t="s">
        <v>434</v>
      </c>
      <c r="E101" s="22" t="s">
        <v>285</v>
      </c>
      <c r="F101" s="22" t="s">
        <v>510</v>
      </c>
      <c r="G101" s="22" t="s">
        <v>353</v>
      </c>
      <c r="H101" s="22">
        <f>SUMIF(Table1[Admin3_Pcode],Table5[[#This Row],[Admin3_Pcode]],Table1[30.04.2025 Individus])</f>
        <v>0</v>
      </c>
      <c r="I101" s="22">
        <f>SUMIF(Table4[Admin3_Pcode],Table5[[#This Row],[Admin3_Pcode]],Table4[30.04.2025 Individus])</f>
        <v>233</v>
      </c>
      <c r="J101" s="23">
        <f>SUM(Table5[[#This Row],[Nbr PDI Sites
LR*]:[Nbr PDI Familles Accueil]])</f>
        <v>233</v>
      </c>
    </row>
    <row r="102" spans="1:10" x14ac:dyDescent="0.3">
      <c r="A102" s="21">
        <v>96</v>
      </c>
      <c r="B102" s="22" t="s">
        <v>97</v>
      </c>
      <c r="C102" s="22" t="s">
        <v>96</v>
      </c>
      <c r="D102" s="22" t="s">
        <v>438</v>
      </c>
      <c r="E102" s="22" t="s">
        <v>289</v>
      </c>
      <c r="F102" s="22" t="s">
        <v>520</v>
      </c>
      <c r="G102" s="22" t="s">
        <v>361</v>
      </c>
      <c r="H102" s="22">
        <f>SUMIF(Table1[Admin3_Pcode],Table5[[#This Row],[Admin3_Pcode]],Table1[30.04.2025 Individus])</f>
        <v>0</v>
      </c>
      <c r="I102" s="22">
        <f>SUMIF(Table4[Admin3_Pcode],Table5[[#This Row],[Admin3_Pcode]],Table4[30.04.2025 Individus])</f>
        <v>1695</v>
      </c>
      <c r="J102" s="23">
        <f>SUM(Table5[[#This Row],[Nbr PDI Sites
LR*]:[Nbr PDI Familles Accueil]])</f>
        <v>1695</v>
      </c>
    </row>
    <row r="103" spans="1:10" x14ac:dyDescent="0.3">
      <c r="A103" s="21">
        <v>97</v>
      </c>
      <c r="B103" s="22" t="s">
        <v>598</v>
      </c>
      <c r="C103" s="22" t="s">
        <v>597</v>
      </c>
      <c r="D103" s="22" t="s">
        <v>603</v>
      </c>
      <c r="E103" s="22" t="s">
        <v>156</v>
      </c>
      <c r="F103" s="22" t="s">
        <v>623</v>
      </c>
      <c r="G103" s="22" t="s">
        <v>166</v>
      </c>
      <c r="H103" s="22">
        <f>SUMIF(Table1[Admin3_Pcode],Table5[[#This Row],[Admin3_Pcode]],Table1[30.04.2025 Individus])</f>
        <v>570</v>
      </c>
      <c r="I103" s="22">
        <f>SUMIF(Table4[Admin3_Pcode],Table5[[#This Row],[Admin3_Pcode]],Table4[30.04.2025 Individus])</f>
        <v>3297</v>
      </c>
      <c r="J103" s="23">
        <f>SUM(Table5[[#This Row],[Nbr PDI Sites
LR*]:[Nbr PDI Familles Accueil]])</f>
        <v>3867</v>
      </c>
    </row>
    <row r="104" spans="1:10" x14ac:dyDescent="0.3">
      <c r="A104" s="21">
        <v>98</v>
      </c>
      <c r="B104" s="22" t="s">
        <v>399</v>
      </c>
      <c r="C104" s="22" t="s">
        <v>247</v>
      </c>
      <c r="D104" s="22" t="s">
        <v>422</v>
      </c>
      <c r="E104" s="22" t="s">
        <v>270</v>
      </c>
      <c r="F104" s="22" t="s">
        <v>691</v>
      </c>
      <c r="G104" s="22" t="s">
        <v>709</v>
      </c>
      <c r="H104" s="22">
        <f>SUMIF(Table1[Admin3_Pcode],Table5[[#This Row],[Admin3_Pcode]],Table1[30.04.2025 Individus])</f>
        <v>0</v>
      </c>
      <c r="I104" s="22">
        <f>SUMIF(Table4[Admin3_Pcode],Table5[[#This Row],[Admin3_Pcode]],Table4[30.04.2025 Individus])</f>
        <v>0</v>
      </c>
      <c r="J104" s="23">
        <f>SUM(Table5[[#This Row],[Nbr PDI Sites
LR*]:[Nbr PDI Familles Accueil]])</f>
        <v>0</v>
      </c>
    </row>
    <row r="105" spans="1:10" x14ac:dyDescent="0.3">
      <c r="A105" s="21">
        <v>99</v>
      </c>
      <c r="B105" s="22" t="s">
        <v>38</v>
      </c>
      <c r="C105" s="22" t="s">
        <v>37</v>
      </c>
      <c r="D105" s="22" t="s">
        <v>412</v>
      </c>
      <c r="E105" s="22" t="s">
        <v>260</v>
      </c>
      <c r="F105" s="22" t="s">
        <v>468</v>
      </c>
      <c r="G105" s="22" t="s">
        <v>323</v>
      </c>
      <c r="H105" s="22">
        <f>SUMIF(Table1[Admin3_Pcode],Table5[[#This Row],[Admin3_Pcode]],Table1[30.04.2025 Individus])</f>
        <v>0</v>
      </c>
      <c r="I105" s="22">
        <f>SUMIF(Table4[Admin3_Pcode],Table5[[#This Row],[Admin3_Pcode]],Table4[30.04.2025 Individus])</f>
        <v>257</v>
      </c>
      <c r="J105" s="23">
        <f>SUM(Table5[[#This Row],[Nbr PDI Sites
LR*]:[Nbr PDI Familles Accueil]])</f>
        <v>257</v>
      </c>
    </row>
    <row r="106" spans="1:10" x14ac:dyDescent="0.3">
      <c r="A106" s="21">
        <v>100</v>
      </c>
      <c r="B106" s="22" t="s">
        <v>605</v>
      </c>
      <c r="C106" s="22" t="s">
        <v>604</v>
      </c>
      <c r="D106" s="22" t="s">
        <v>613</v>
      </c>
      <c r="E106" s="22" t="s">
        <v>296</v>
      </c>
      <c r="F106" s="22" t="s">
        <v>655</v>
      </c>
      <c r="G106" s="22" t="s">
        <v>385</v>
      </c>
      <c r="H106" s="22">
        <f>SUMIF(Table1[Admin3_Pcode],Table5[[#This Row],[Admin3_Pcode]],Table1[30.04.2025 Individus])</f>
        <v>0</v>
      </c>
      <c r="I106" s="22">
        <f>SUMIF(Table4[Admin3_Pcode],Table5[[#This Row],[Admin3_Pcode]],Table4[30.04.2025 Individus])</f>
        <v>267</v>
      </c>
      <c r="J106" s="23">
        <f>SUM(Table5[[#This Row],[Nbr PDI Sites
LR*]:[Nbr PDI Familles Accueil]])</f>
        <v>267</v>
      </c>
    </row>
    <row r="107" spans="1:10" x14ac:dyDescent="0.3">
      <c r="A107" s="21">
        <v>101</v>
      </c>
      <c r="B107" s="22" t="s">
        <v>104</v>
      </c>
      <c r="C107" s="22" t="s">
        <v>103</v>
      </c>
      <c r="D107" s="22" t="s">
        <v>441</v>
      </c>
      <c r="E107" s="22" t="s">
        <v>292</v>
      </c>
      <c r="F107" s="22" t="s">
        <v>692</v>
      </c>
      <c r="G107" s="22" t="s">
        <v>710</v>
      </c>
      <c r="H107" s="22">
        <f>SUMIF(Table1[Admin3_Pcode],Table5[[#This Row],[Admin3_Pcode]],Table1[30.04.2025 Individus])</f>
        <v>0</v>
      </c>
      <c r="I107" s="22">
        <f>SUMIF(Table4[Admin3_Pcode],Table5[[#This Row],[Admin3_Pcode]],Table4[30.04.2025 Individus])</f>
        <v>0</v>
      </c>
      <c r="J107" s="23">
        <f>SUM(Table5[[#This Row],[Nbr PDI Sites
LR*]:[Nbr PDI Familles Accueil]])</f>
        <v>0</v>
      </c>
    </row>
    <row r="108" spans="1:10" x14ac:dyDescent="0.3">
      <c r="A108" s="21">
        <v>102</v>
      </c>
      <c r="B108" s="22" t="s">
        <v>399</v>
      </c>
      <c r="C108" s="22" t="s">
        <v>247</v>
      </c>
      <c r="D108" s="22" t="s">
        <v>419</v>
      </c>
      <c r="E108" s="22" t="s">
        <v>267</v>
      </c>
      <c r="F108" s="22" t="s">
        <v>481</v>
      </c>
      <c r="G108" s="22" t="s">
        <v>247</v>
      </c>
      <c r="H108" s="22">
        <f>SUMIF(Table1[Admin3_Pcode],Table5[[#This Row],[Admin3_Pcode]],Table1[30.04.2025 Individus])</f>
        <v>0</v>
      </c>
      <c r="I108" s="22">
        <f>SUMIF(Table4[Admin3_Pcode],Table5[[#This Row],[Admin3_Pcode]],Table4[30.04.2025 Individus])</f>
        <v>1757</v>
      </c>
      <c r="J108" s="23">
        <f>SUM(Table5[[#This Row],[Nbr PDI Sites
LR*]:[Nbr PDI Familles Accueil]])</f>
        <v>1757</v>
      </c>
    </row>
    <row r="109" spans="1:10" x14ac:dyDescent="0.3">
      <c r="A109" s="21">
        <v>103</v>
      </c>
      <c r="B109" s="22" t="s">
        <v>185</v>
      </c>
      <c r="C109" s="22" t="s">
        <v>184</v>
      </c>
      <c r="D109" s="22" t="s">
        <v>187</v>
      </c>
      <c r="E109" s="22" t="s">
        <v>186</v>
      </c>
      <c r="F109" s="22" t="s">
        <v>541</v>
      </c>
      <c r="G109" s="22" t="s">
        <v>380</v>
      </c>
      <c r="H109" s="22">
        <f>SUMIF(Table1[Admin3_Pcode],Table5[[#This Row],[Admin3_Pcode]],Table1[30.04.2025 Individus])</f>
        <v>0</v>
      </c>
      <c r="I109" s="22">
        <f>SUMIF(Table4[Admin3_Pcode],Table5[[#This Row],[Admin3_Pcode]],Table4[30.04.2025 Individus])</f>
        <v>20</v>
      </c>
      <c r="J109" s="23">
        <f>SUM(Table5[[#This Row],[Nbr PDI Sites
LR*]:[Nbr PDI Familles Accueil]])</f>
        <v>20</v>
      </c>
    </row>
    <row r="110" spans="1:10" x14ac:dyDescent="0.3">
      <c r="A110" s="21">
        <v>104</v>
      </c>
      <c r="B110" s="22" t="s">
        <v>398</v>
      </c>
      <c r="C110" s="22" t="s">
        <v>246</v>
      </c>
      <c r="D110" s="22" t="s">
        <v>416</v>
      </c>
      <c r="E110" s="22" t="s">
        <v>264</v>
      </c>
      <c r="F110" s="22" t="s">
        <v>476</v>
      </c>
      <c r="G110" s="22" t="s">
        <v>264</v>
      </c>
      <c r="H110" s="22">
        <f>SUMIF(Table1[Admin3_Pcode],Table5[[#This Row],[Admin3_Pcode]],Table1[30.04.2025 Individus])</f>
        <v>0</v>
      </c>
      <c r="I110" s="22">
        <f>SUMIF(Table4[Admin3_Pcode],Table5[[#This Row],[Admin3_Pcode]],Table4[30.04.2025 Individus])</f>
        <v>1659</v>
      </c>
      <c r="J110" s="23">
        <f>SUM(Table5[[#This Row],[Nbr PDI Sites
LR*]:[Nbr PDI Familles Accueil]])</f>
        <v>1659</v>
      </c>
    </row>
    <row r="111" spans="1:10" x14ac:dyDescent="0.3">
      <c r="A111" s="21">
        <v>105</v>
      </c>
      <c r="B111" s="22" t="s">
        <v>605</v>
      </c>
      <c r="C111" s="22" t="s">
        <v>604</v>
      </c>
      <c r="D111" s="22" t="s">
        <v>670</v>
      </c>
      <c r="E111" s="22" t="s">
        <v>671</v>
      </c>
      <c r="F111" s="22" t="s">
        <v>659</v>
      </c>
      <c r="G111" s="22" t="s">
        <v>388</v>
      </c>
      <c r="H111" s="22">
        <f>SUMIF(Table1[Admin3_Pcode],Table5[[#This Row],[Admin3_Pcode]],Table1[30.04.2025 Individus])</f>
        <v>0</v>
      </c>
      <c r="I111" s="22">
        <f>SUMIF(Table4[Admin3_Pcode],Table5[[#This Row],[Admin3_Pcode]],Table4[30.04.2025 Individus])</f>
        <v>943</v>
      </c>
      <c r="J111" s="23">
        <f>SUM(Table5[[#This Row],[Nbr PDI Sites
LR*]:[Nbr PDI Familles Accueil]])</f>
        <v>943</v>
      </c>
    </row>
    <row r="112" spans="1:10" x14ac:dyDescent="0.3">
      <c r="A112" s="21">
        <v>106</v>
      </c>
      <c r="B112" s="22" t="s">
        <v>402</v>
      </c>
      <c r="C112" s="22" t="s">
        <v>250</v>
      </c>
      <c r="D112" s="22" t="s">
        <v>445</v>
      </c>
      <c r="E112" s="22" t="s">
        <v>298</v>
      </c>
      <c r="F112" s="22" t="s">
        <v>628</v>
      </c>
      <c r="G112" s="22" t="s">
        <v>633</v>
      </c>
      <c r="H112" s="22">
        <f>SUMIF(Table1[Admin3_Pcode],Table5[[#This Row],[Admin3_Pcode]],Table1[30.04.2025 Individus])</f>
        <v>0</v>
      </c>
      <c r="I112" s="22">
        <f>SUMIF(Table4[Admin3_Pcode],Table5[[#This Row],[Admin3_Pcode]],Table4[30.04.2025 Individus])</f>
        <v>1584</v>
      </c>
      <c r="J112" s="23">
        <f>SUM(Table5[[#This Row],[Nbr PDI Sites
LR*]:[Nbr PDI Familles Accueil]])</f>
        <v>1584</v>
      </c>
    </row>
    <row r="113" spans="1:10" x14ac:dyDescent="0.3">
      <c r="A113" s="21">
        <v>107</v>
      </c>
      <c r="B113" s="22" t="s">
        <v>399</v>
      </c>
      <c r="C113" s="22" t="s">
        <v>247</v>
      </c>
      <c r="D113" s="22" t="s">
        <v>422</v>
      </c>
      <c r="E113" s="22" t="s">
        <v>270</v>
      </c>
      <c r="F113" s="22" t="s">
        <v>484</v>
      </c>
      <c r="G113" s="22" t="s">
        <v>333</v>
      </c>
      <c r="H113" s="22">
        <f>SUMIF(Table1[Admin3_Pcode],Table5[[#This Row],[Admin3_Pcode]],Table1[30.04.2025 Individus])</f>
        <v>0</v>
      </c>
      <c r="I113" s="22">
        <f>SUMIF(Table4[Admin3_Pcode],Table5[[#This Row],[Admin3_Pcode]],Table4[30.04.2025 Individus])</f>
        <v>1892</v>
      </c>
      <c r="J113" s="23">
        <f>SUM(Table5[[#This Row],[Nbr PDI Sites
LR*]:[Nbr PDI Familles Accueil]])</f>
        <v>1892</v>
      </c>
    </row>
    <row r="114" spans="1:10" x14ac:dyDescent="0.3">
      <c r="A114" s="21">
        <v>108</v>
      </c>
      <c r="B114" s="22" t="s">
        <v>607</v>
      </c>
      <c r="C114" s="22" t="s">
        <v>606</v>
      </c>
      <c r="D114" s="22" t="s">
        <v>611</v>
      </c>
      <c r="E114" s="22" t="s">
        <v>276</v>
      </c>
      <c r="F114" s="22" t="s">
        <v>644</v>
      </c>
      <c r="G114" s="22" t="s">
        <v>342</v>
      </c>
      <c r="H114" s="22">
        <f>SUMIF(Table1[Admin3_Pcode],Table5[[#This Row],[Admin3_Pcode]],Table1[30.04.2025 Individus])</f>
        <v>0</v>
      </c>
      <c r="I114" s="22">
        <f>SUMIF(Table4[Admin3_Pcode],Table5[[#This Row],[Admin3_Pcode]],Table4[30.04.2025 Individus])</f>
        <v>0</v>
      </c>
      <c r="J114" s="23">
        <f>SUM(Table5[[#This Row],[Nbr PDI Sites
LR*]:[Nbr PDI Familles Accueil]])</f>
        <v>0</v>
      </c>
    </row>
    <row r="115" spans="1:10" x14ac:dyDescent="0.3">
      <c r="A115" s="21">
        <v>109</v>
      </c>
      <c r="B115" s="22" t="s">
        <v>399</v>
      </c>
      <c r="C115" s="22" t="s">
        <v>247</v>
      </c>
      <c r="D115" s="22" t="s">
        <v>422</v>
      </c>
      <c r="E115" s="22" t="s">
        <v>270</v>
      </c>
      <c r="F115" s="22" t="s">
        <v>693</v>
      </c>
      <c r="G115" s="22" t="s">
        <v>711</v>
      </c>
      <c r="H115" s="22">
        <f>SUMIF(Table1[Admin3_Pcode],Table5[[#This Row],[Admin3_Pcode]],Table1[30.04.2025 Individus])</f>
        <v>0</v>
      </c>
      <c r="I115" s="22">
        <f>SUMIF(Table4[Admin3_Pcode],Table5[[#This Row],[Admin3_Pcode]],Table4[30.04.2025 Individus])</f>
        <v>0</v>
      </c>
      <c r="J115" s="23">
        <f>SUM(Table5[[#This Row],[Nbr PDI Sites
LR*]:[Nbr PDI Familles Accueil]])</f>
        <v>0</v>
      </c>
    </row>
    <row r="116" spans="1:10" x14ac:dyDescent="0.3">
      <c r="A116" s="21">
        <v>110</v>
      </c>
      <c r="B116" s="22" t="s">
        <v>19</v>
      </c>
      <c r="C116" s="22" t="s">
        <v>18</v>
      </c>
      <c r="D116" s="22" t="s">
        <v>408</v>
      </c>
      <c r="E116" s="22" t="s">
        <v>256</v>
      </c>
      <c r="F116" s="22" t="s">
        <v>463</v>
      </c>
      <c r="G116" s="22" t="s">
        <v>318</v>
      </c>
      <c r="H116" s="22">
        <f>SUMIF(Table1[Admin3_Pcode],Table5[[#This Row],[Admin3_Pcode]],Table1[30.04.2025 Individus])</f>
        <v>0</v>
      </c>
      <c r="I116" s="22">
        <f>SUMIF(Table4[Admin3_Pcode],Table5[[#This Row],[Admin3_Pcode]],Table4[30.04.2025 Individus])</f>
        <v>245</v>
      </c>
      <c r="J116" s="23">
        <f>SUM(Table5[[#This Row],[Nbr PDI Sites
LR*]:[Nbr PDI Familles Accueil]])</f>
        <v>245</v>
      </c>
    </row>
    <row r="117" spans="1:10" x14ac:dyDescent="0.3">
      <c r="A117" s="21">
        <v>111</v>
      </c>
      <c r="B117" s="22" t="s">
        <v>605</v>
      </c>
      <c r="C117" s="22" t="s">
        <v>604</v>
      </c>
      <c r="D117" s="22" t="s">
        <v>613</v>
      </c>
      <c r="E117" s="22" t="s">
        <v>296</v>
      </c>
      <c r="F117" s="22" t="s">
        <v>694</v>
      </c>
      <c r="G117" s="22" t="s">
        <v>712</v>
      </c>
      <c r="H117" s="22">
        <f>SUMIF(Table1[Admin3_Pcode],Table5[[#This Row],[Admin3_Pcode]],Table1[30.04.2025 Individus])</f>
        <v>0</v>
      </c>
      <c r="I117" s="22">
        <f>SUMIF(Table4[Admin3_Pcode],Table5[[#This Row],[Admin3_Pcode]],Table4[30.04.2025 Individus])</f>
        <v>0</v>
      </c>
      <c r="J117" s="23">
        <f>SUM(Table5[[#This Row],[Nbr PDI Sites
LR*]:[Nbr PDI Familles Accueil]])</f>
        <v>0</v>
      </c>
    </row>
    <row r="118" spans="1:10" x14ac:dyDescent="0.3">
      <c r="A118" s="21">
        <v>112</v>
      </c>
      <c r="B118" s="22" t="s">
        <v>38</v>
      </c>
      <c r="C118" s="22" t="s">
        <v>37</v>
      </c>
      <c r="D118" s="22" t="s">
        <v>674</v>
      </c>
      <c r="E118" s="22" t="s">
        <v>51</v>
      </c>
      <c r="F118" s="22" t="s">
        <v>618</v>
      </c>
      <c r="G118" s="22" t="s">
        <v>51</v>
      </c>
      <c r="H118" s="22">
        <f>SUMIF(Table1[Admin3_Pcode],Table5[[#This Row],[Admin3_Pcode]],Table1[30.04.2025 Individus])</f>
        <v>0</v>
      </c>
      <c r="I118" s="22">
        <f>SUMIF(Table4[Admin3_Pcode],Table5[[#This Row],[Admin3_Pcode]],Table4[30.04.2025 Individus])</f>
        <v>0</v>
      </c>
      <c r="J118" s="23">
        <f>SUM(Table5[[#This Row],[Nbr PDI Sites
LR*]:[Nbr PDI Familles Accueil]])</f>
        <v>0</v>
      </c>
    </row>
    <row r="119" spans="1:10" x14ac:dyDescent="0.3">
      <c r="A119" s="21">
        <v>113</v>
      </c>
      <c r="B119" s="22" t="s">
        <v>2</v>
      </c>
      <c r="C119" s="22" t="s">
        <v>1</v>
      </c>
      <c r="D119" s="22" t="s">
        <v>4</v>
      </c>
      <c r="E119" s="22" t="s">
        <v>3</v>
      </c>
      <c r="F119" s="22" t="s">
        <v>452</v>
      </c>
      <c r="G119" s="22" t="s">
        <v>304</v>
      </c>
      <c r="H119" s="22">
        <f>SUMIF(Table1[Admin3_Pcode],Table5[[#This Row],[Admin3_Pcode]],Table1[30.04.2025 Individus])</f>
        <v>0</v>
      </c>
      <c r="I119" s="22">
        <f>SUMIF(Table4[Admin3_Pcode],Table5[[#This Row],[Admin3_Pcode]],Table4[30.04.2025 Individus])</f>
        <v>683</v>
      </c>
      <c r="J119" s="23">
        <f>SUM(Table5[[#This Row],[Nbr PDI Sites
LR*]:[Nbr PDI Familles Accueil]])</f>
        <v>683</v>
      </c>
    </row>
    <row r="120" spans="1:10" x14ac:dyDescent="0.3">
      <c r="A120" s="21">
        <v>114</v>
      </c>
      <c r="B120" s="22" t="s">
        <v>19</v>
      </c>
      <c r="C120" s="22" t="s">
        <v>18</v>
      </c>
      <c r="D120" s="22" t="s">
        <v>407</v>
      </c>
      <c r="E120" s="22" t="s">
        <v>255</v>
      </c>
      <c r="F120" s="22" t="s">
        <v>461</v>
      </c>
      <c r="G120" s="22" t="s">
        <v>317</v>
      </c>
      <c r="H120" s="22">
        <f>SUMIF(Table1[Admin3_Pcode],Table5[[#This Row],[Admin3_Pcode]],Table1[30.04.2025 Individus])</f>
        <v>0</v>
      </c>
      <c r="I120" s="22">
        <f>SUMIF(Table4[Admin3_Pcode],Table5[[#This Row],[Admin3_Pcode]],Table4[30.04.2025 Individus])</f>
        <v>0</v>
      </c>
      <c r="J120" s="23">
        <f>SUM(Table5[[#This Row],[Nbr PDI Sites
LR*]:[Nbr PDI Familles Accueil]])</f>
        <v>0</v>
      </c>
    </row>
    <row r="121" spans="1:10" x14ac:dyDescent="0.3">
      <c r="A121" s="21">
        <v>115</v>
      </c>
      <c r="B121" s="22" t="s">
        <v>76</v>
      </c>
      <c r="C121" s="22" t="s">
        <v>75</v>
      </c>
      <c r="D121" s="22" t="s">
        <v>431</v>
      </c>
      <c r="E121" s="22" t="s">
        <v>282</v>
      </c>
      <c r="F121" s="22" t="s">
        <v>505</v>
      </c>
      <c r="G121" s="22" t="s">
        <v>350</v>
      </c>
      <c r="H121" s="22">
        <f>SUMIF(Table1[Admin3_Pcode],Table5[[#This Row],[Admin3_Pcode]],Table1[30.04.2025 Individus])</f>
        <v>0</v>
      </c>
      <c r="I121" s="22">
        <f>SUMIF(Table4[Admin3_Pcode],Table5[[#This Row],[Admin3_Pcode]],Table4[30.04.2025 Individus])</f>
        <v>2261</v>
      </c>
      <c r="J121" s="23">
        <f>SUM(Table5[[#This Row],[Nbr PDI Sites
LR*]:[Nbr PDI Familles Accueil]])</f>
        <v>2261</v>
      </c>
    </row>
    <row r="122" spans="1:10" x14ac:dyDescent="0.3">
      <c r="A122" s="21">
        <v>116</v>
      </c>
      <c r="B122" s="22" t="s">
        <v>605</v>
      </c>
      <c r="C122" s="22" t="s">
        <v>604</v>
      </c>
      <c r="D122" s="22" t="s">
        <v>612</v>
      </c>
      <c r="E122" s="22" t="s">
        <v>297</v>
      </c>
      <c r="F122" s="22" t="s">
        <v>661</v>
      </c>
      <c r="G122" s="22" t="s">
        <v>390</v>
      </c>
      <c r="H122" s="22">
        <f>SUMIF(Table1[Admin3_Pcode],Table5[[#This Row],[Admin3_Pcode]],Table1[30.04.2025 Individus])</f>
        <v>0</v>
      </c>
      <c r="I122" s="22">
        <f>SUMIF(Table4[Admin3_Pcode],Table5[[#This Row],[Admin3_Pcode]],Table4[30.04.2025 Individus])</f>
        <v>420</v>
      </c>
      <c r="J122" s="23">
        <f>SUM(Table5[[#This Row],[Nbr PDI Sites
LR*]:[Nbr PDI Familles Accueil]])</f>
        <v>420</v>
      </c>
    </row>
    <row r="123" spans="1:10" x14ac:dyDescent="0.3">
      <c r="A123" s="21">
        <v>117</v>
      </c>
      <c r="B123" s="22" t="s">
        <v>19</v>
      </c>
      <c r="C123" s="22" t="s">
        <v>18</v>
      </c>
      <c r="D123" s="22" t="s">
        <v>408</v>
      </c>
      <c r="E123" s="22" t="s">
        <v>256</v>
      </c>
      <c r="F123" s="22" t="s">
        <v>462</v>
      </c>
      <c r="G123" s="22" t="s">
        <v>256</v>
      </c>
      <c r="H123" s="22">
        <f>SUMIF(Table1[Admin3_Pcode],Table5[[#This Row],[Admin3_Pcode]],Table1[30.04.2025 Individus])</f>
        <v>0</v>
      </c>
      <c r="I123" s="22">
        <f>SUMIF(Table4[Admin3_Pcode],Table5[[#This Row],[Admin3_Pcode]],Table4[30.04.2025 Individus])</f>
        <v>3420</v>
      </c>
      <c r="J123" s="23">
        <f>SUM(Table5[[#This Row],[Nbr PDI Sites
LR*]:[Nbr PDI Familles Accueil]])</f>
        <v>3420</v>
      </c>
    </row>
    <row r="124" spans="1:10" x14ac:dyDescent="0.3">
      <c r="A124" s="21">
        <v>118</v>
      </c>
      <c r="B124" s="22" t="s">
        <v>399</v>
      </c>
      <c r="C124" s="22" t="s">
        <v>247</v>
      </c>
      <c r="D124" s="22" t="s">
        <v>675</v>
      </c>
      <c r="E124" s="22" t="s">
        <v>676</v>
      </c>
      <c r="F124" s="22" t="s">
        <v>695</v>
      </c>
      <c r="G124" s="22" t="s">
        <v>676</v>
      </c>
      <c r="H124" s="22">
        <f>SUMIF(Table1[Admin3_Pcode],Table5[[#This Row],[Admin3_Pcode]],Table1[30.04.2025 Individus])</f>
        <v>0</v>
      </c>
      <c r="I124" s="22">
        <f>SUMIF(Table4[Admin3_Pcode],Table5[[#This Row],[Admin3_Pcode]],Table4[30.04.2025 Individus])</f>
        <v>0</v>
      </c>
      <c r="J124" s="23">
        <f>SUM(Table5[[#This Row],[Nbr PDI Sites
LR*]:[Nbr PDI Familles Accueil]])</f>
        <v>0</v>
      </c>
    </row>
    <row r="125" spans="1:10" x14ac:dyDescent="0.3">
      <c r="A125" s="21">
        <v>119</v>
      </c>
      <c r="B125" s="22" t="s">
        <v>605</v>
      </c>
      <c r="C125" s="22" t="s">
        <v>604</v>
      </c>
      <c r="D125" s="22" t="s">
        <v>670</v>
      </c>
      <c r="E125" s="22" t="s">
        <v>671</v>
      </c>
      <c r="F125" s="22" t="s">
        <v>660</v>
      </c>
      <c r="G125" s="22" t="s">
        <v>389</v>
      </c>
      <c r="H125" s="22">
        <f>SUMIF(Table1[Admin3_Pcode],Table5[[#This Row],[Admin3_Pcode]],Table1[30.04.2025 Individus])</f>
        <v>0</v>
      </c>
      <c r="I125" s="22">
        <f>SUMIF(Table4[Admin3_Pcode],Table5[[#This Row],[Admin3_Pcode]],Table4[30.04.2025 Individus])</f>
        <v>337</v>
      </c>
      <c r="J125" s="23">
        <f>SUM(Table5[[#This Row],[Nbr PDI Sites
LR*]:[Nbr PDI Familles Accueil]])</f>
        <v>337</v>
      </c>
    </row>
    <row r="126" spans="1:10" x14ac:dyDescent="0.3">
      <c r="A126" s="21">
        <v>120</v>
      </c>
      <c r="B126" s="22" t="s">
        <v>399</v>
      </c>
      <c r="C126" s="22" t="s">
        <v>247</v>
      </c>
      <c r="D126" s="22" t="s">
        <v>423</v>
      </c>
      <c r="E126" s="22" t="s">
        <v>271</v>
      </c>
      <c r="F126" s="22" t="s">
        <v>488</v>
      </c>
      <c r="G126" s="22" t="s">
        <v>271</v>
      </c>
      <c r="H126" s="22">
        <f>SUMIF(Table1[Admin3_Pcode],Table5[[#This Row],[Admin3_Pcode]],Table1[30.04.2025 Individus])</f>
        <v>0</v>
      </c>
      <c r="I126" s="22">
        <f>SUMIF(Table4[Admin3_Pcode],Table5[[#This Row],[Admin3_Pcode]],Table4[30.04.2025 Individus])</f>
        <v>0</v>
      </c>
      <c r="J126" s="23">
        <f>SUM(Table5[[#This Row],[Nbr PDI Sites
LR*]:[Nbr PDI Familles Accueil]])</f>
        <v>0</v>
      </c>
    </row>
    <row r="127" spans="1:10" x14ac:dyDescent="0.3">
      <c r="A127" s="21">
        <v>121</v>
      </c>
      <c r="B127" s="22" t="s">
        <v>598</v>
      </c>
      <c r="C127" s="22" t="s">
        <v>597</v>
      </c>
      <c r="D127" s="22" t="s">
        <v>677</v>
      </c>
      <c r="E127" s="22" t="s">
        <v>141</v>
      </c>
      <c r="F127" s="22" t="s">
        <v>622</v>
      </c>
      <c r="G127" s="22" t="s">
        <v>142</v>
      </c>
      <c r="H127" s="22">
        <f>SUMIF(Table1[Admin3_Pcode],Table5[[#This Row],[Admin3_Pcode]],Table1[30.04.2025 Individus])</f>
        <v>1388</v>
      </c>
      <c r="I127" s="22">
        <f>SUMIF(Table4[Admin3_Pcode],Table5[[#This Row],[Admin3_Pcode]],Table4[30.04.2025 Individus])</f>
        <v>0</v>
      </c>
      <c r="J127" s="23">
        <f>SUM(Table5[[#This Row],[Nbr PDI Sites
LR*]:[Nbr PDI Familles Accueil]])</f>
        <v>1388</v>
      </c>
    </row>
    <row r="128" spans="1:10" x14ac:dyDescent="0.3">
      <c r="A128" s="21">
        <v>122</v>
      </c>
      <c r="B128" s="22" t="s">
        <v>401</v>
      </c>
      <c r="C128" s="22" t="s">
        <v>249</v>
      </c>
      <c r="D128" s="22" t="s">
        <v>432</v>
      </c>
      <c r="E128" s="22" t="s">
        <v>283</v>
      </c>
      <c r="F128" s="22" t="s">
        <v>696</v>
      </c>
      <c r="G128" s="22" t="s">
        <v>713</v>
      </c>
      <c r="H128" s="22">
        <f>SUMIF(Table1[Admin3_Pcode],Table5[[#This Row],[Admin3_Pcode]],Table1[30.04.2025 Individus])</f>
        <v>0</v>
      </c>
      <c r="I128" s="22">
        <f>SUMIF(Table4[Admin3_Pcode],Table5[[#This Row],[Admin3_Pcode]],Table4[30.04.2025 Individus])</f>
        <v>0</v>
      </c>
      <c r="J128" s="23">
        <f>SUM(Table5[[#This Row],[Nbr PDI Sites
LR*]:[Nbr PDI Familles Accueil]])</f>
        <v>0</v>
      </c>
    </row>
    <row r="129" spans="1:10" x14ac:dyDescent="0.3">
      <c r="A129" s="21">
        <v>123</v>
      </c>
      <c r="B129" s="22" t="s">
        <v>135</v>
      </c>
      <c r="C129" s="22" t="s">
        <v>134</v>
      </c>
      <c r="D129" s="22" t="s">
        <v>403</v>
      </c>
      <c r="E129" s="22" t="s">
        <v>251</v>
      </c>
      <c r="F129" s="22" t="s">
        <v>449</v>
      </c>
      <c r="G129" s="22" t="s">
        <v>302</v>
      </c>
      <c r="H129" s="22">
        <f>SUMIF(Table1[Admin3_Pcode],Table5[[#This Row],[Admin3_Pcode]],Table1[30.04.2025 Individus])</f>
        <v>0</v>
      </c>
      <c r="I129" s="22">
        <f>SUMIF(Table4[Admin3_Pcode],Table5[[#This Row],[Admin3_Pcode]],Table4[30.04.2025 Individus])</f>
        <v>5725</v>
      </c>
      <c r="J129" s="23">
        <f>SUM(Table5[[#This Row],[Nbr PDI Sites
LR*]:[Nbr PDI Familles Accueil]])</f>
        <v>5725</v>
      </c>
    </row>
    <row r="130" spans="1:10" x14ac:dyDescent="0.3">
      <c r="A130" s="21">
        <v>124</v>
      </c>
      <c r="B130" s="22" t="s">
        <v>135</v>
      </c>
      <c r="C130" s="22" t="s">
        <v>134</v>
      </c>
      <c r="D130" s="22" t="s">
        <v>442</v>
      </c>
      <c r="E130" s="22" t="s">
        <v>293</v>
      </c>
      <c r="F130" s="22" t="s">
        <v>538</v>
      </c>
      <c r="G130" s="22" t="s">
        <v>293</v>
      </c>
      <c r="H130" s="22">
        <f>SUMIF(Table1[Admin3_Pcode],Table5[[#This Row],[Admin3_Pcode]],Table1[30.04.2025 Individus])</f>
        <v>0</v>
      </c>
      <c r="I130" s="22">
        <f>SUMIF(Table4[Admin3_Pcode],Table5[[#This Row],[Admin3_Pcode]],Table4[30.04.2025 Individus])</f>
        <v>5165</v>
      </c>
      <c r="J130" s="23">
        <f>SUM(Table5[[#This Row],[Nbr PDI Sites
LR*]:[Nbr PDI Familles Accueil]])</f>
        <v>5165</v>
      </c>
    </row>
    <row r="131" spans="1:10" x14ac:dyDescent="0.3">
      <c r="A131" s="21">
        <v>125</v>
      </c>
      <c r="B131" s="22" t="s">
        <v>605</v>
      </c>
      <c r="C131" s="22" t="s">
        <v>604</v>
      </c>
      <c r="D131" s="22" t="s">
        <v>612</v>
      </c>
      <c r="E131" s="22" t="s">
        <v>297</v>
      </c>
      <c r="F131" s="22" t="s">
        <v>658</v>
      </c>
      <c r="G131" s="22" t="s">
        <v>387</v>
      </c>
      <c r="H131" s="22">
        <f>SUMIF(Table1[Admin3_Pcode],Table5[[#This Row],[Admin3_Pcode]],Table1[30.04.2025 Individus])</f>
        <v>0</v>
      </c>
      <c r="I131" s="22">
        <f>SUMIF(Table4[Admin3_Pcode],Table5[[#This Row],[Admin3_Pcode]],Table4[30.04.2025 Individus])</f>
        <v>0</v>
      </c>
      <c r="J131" s="23">
        <f>SUM(Table5[[#This Row],[Nbr PDI Sites
LR*]:[Nbr PDI Familles Accueil]])</f>
        <v>0</v>
      </c>
    </row>
    <row r="132" spans="1:10" x14ac:dyDescent="0.3">
      <c r="A132" s="21">
        <v>126</v>
      </c>
      <c r="B132" s="22" t="s">
        <v>76</v>
      </c>
      <c r="C132" s="22" t="s">
        <v>75</v>
      </c>
      <c r="D132" s="22" t="s">
        <v>678</v>
      </c>
      <c r="E132" s="22" t="s">
        <v>89</v>
      </c>
      <c r="F132" s="22" t="s">
        <v>645</v>
      </c>
      <c r="G132" s="22" t="s">
        <v>89</v>
      </c>
      <c r="H132" s="22">
        <f>SUMIF(Table1[Admin3_Pcode],Table5[[#This Row],[Admin3_Pcode]],Table1[30.04.2025 Individus])</f>
        <v>0</v>
      </c>
      <c r="I132" s="22">
        <f>SUMIF(Table4[Admin3_Pcode],Table5[[#This Row],[Admin3_Pcode]],Table4[30.04.2025 Individus])</f>
        <v>472</v>
      </c>
      <c r="J132" s="23">
        <f>SUM(Table5[[#This Row],[Nbr PDI Sites
LR*]:[Nbr PDI Familles Accueil]])</f>
        <v>472</v>
      </c>
    </row>
    <row r="133" spans="1:10" x14ac:dyDescent="0.3">
      <c r="A133" s="21">
        <v>127</v>
      </c>
      <c r="B133" s="22" t="s">
        <v>135</v>
      </c>
      <c r="C133" s="22" t="s">
        <v>134</v>
      </c>
      <c r="D133" s="22" t="s">
        <v>443</v>
      </c>
      <c r="E133" s="22" t="s">
        <v>294</v>
      </c>
      <c r="F133" s="22" t="s">
        <v>539</v>
      </c>
      <c r="G133" s="22" t="s">
        <v>294</v>
      </c>
      <c r="H133" s="22">
        <f>SUMIF(Table1[Admin3_Pcode],Table5[[#This Row],[Admin3_Pcode]],Table1[30.04.2025 Individus])</f>
        <v>0</v>
      </c>
      <c r="I133" s="22">
        <f>SUMIF(Table4[Admin3_Pcode],Table5[[#This Row],[Admin3_Pcode]],Table4[30.04.2025 Individus])</f>
        <v>5225</v>
      </c>
      <c r="J133" s="23">
        <f>SUM(Table5[[#This Row],[Nbr PDI Sites
LR*]:[Nbr PDI Familles Accueil]])</f>
        <v>5225</v>
      </c>
    </row>
    <row r="134" spans="1:10" x14ac:dyDescent="0.3">
      <c r="A134" s="21">
        <v>128</v>
      </c>
      <c r="B134" s="22" t="s">
        <v>76</v>
      </c>
      <c r="C134" s="22" t="s">
        <v>75</v>
      </c>
      <c r="D134" s="22" t="s">
        <v>78</v>
      </c>
      <c r="E134" s="22" t="s">
        <v>77</v>
      </c>
      <c r="F134" s="22" t="s">
        <v>504</v>
      </c>
      <c r="G134" s="22" t="s">
        <v>349</v>
      </c>
      <c r="H134" s="22">
        <f>SUMIF(Table1[Admin3_Pcode],Table5[[#This Row],[Admin3_Pcode]],Table1[30.04.2025 Individus])</f>
        <v>0</v>
      </c>
      <c r="I134" s="22">
        <f>SUMIF(Table4[Admin3_Pcode],Table5[[#This Row],[Admin3_Pcode]],Table4[30.04.2025 Individus])</f>
        <v>2450</v>
      </c>
      <c r="J134" s="23">
        <f>SUM(Table5[[#This Row],[Nbr PDI Sites
LR*]:[Nbr PDI Familles Accueil]])</f>
        <v>2450</v>
      </c>
    </row>
    <row r="135" spans="1:10" x14ac:dyDescent="0.3">
      <c r="A135" s="21">
        <v>129</v>
      </c>
      <c r="B135" s="22" t="s">
        <v>135</v>
      </c>
      <c r="C135" s="22" t="s">
        <v>134</v>
      </c>
      <c r="D135" s="22" t="s">
        <v>181</v>
      </c>
      <c r="E135" s="22" t="s">
        <v>180</v>
      </c>
      <c r="F135" s="22" t="s">
        <v>533</v>
      </c>
      <c r="G135" s="22" t="s">
        <v>372</v>
      </c>
      <c r="H135" s="22">
        <f>SUMIF(Table1[Admin3_Pcode],Table5[[#This Row],[Admin3_Pcode]],Table1[30.04.2025 Individus])</f>
        <v>0</v>
      </c>
      <c r="I135" s="22">
        <f>SUMIF(Table4[Admin3_Pcode],Table5[[#This Row],[Admin3_Pcode]],Table4[30.04.2025 Individus])</f>
        <v>4193</v>
      </c>
      <c r="J135" s="23">
        <f>SUM(Table5[[#This Row],[Nbr PDI Sites
LR*]:[Nbr PDI Familles Accueil]])</f>
        <v>4193</v>
      </c>
    </row>
    <row r="136" spans="1:10" x14ac:dyDescent="0.3">
      <c r="A136" s="21">
        <v>130</v>
      </c>
      <c r="B136" s="22" t="s">
        <v>59</v>
      </c>
      <c r="C136" s="22" t="s">
        <v>58</v>
      </c>
      <c r="D136" s="22" t="s">
        <v>429</v>
      </c>
      <c r="E136" s="22" t="s">
        <v>280</v>
      </c>
      <c r="F136" s="22" t="s">
        <v>500</v>
      </c>
      <c r="G136" s="22" t="s">
        <v>346</v>
      </c>
      <c r="H136" s="22">
        <f>SUMIF(Table1[Admin3_Pcode],Table5[[#This Row],[Admin3_Pcode]],Table1[30.04.2025 Individus])</f>
        <v>0</v>
      </c>
      <c r="I136" s="22">
        <f>SUMIF(Table4[Admin3_Pcode],Table5[[#This Row],[Admin3_Pcode]],Table4[30.04.2025 Individus])</f>
        <v>20</v>
      </c>
      <c r="J136" s="23">
        <f>SUM(Table5[[#This Row],[Nbr PDI Sites
LR*]:[Nbr PDI Familles Accueil]])</f>
        <v>20</v>
      </c>
    </row>
    <row r="137" spans="1:10" x14ac:dyDescent="0.3">
      <c r="A137" s="21">
        <v>131</v>
      </c>
      <c r="B137" s="22" t="s">
        <v>59</v>
      </c>
      <c r="C137" s="22" t="s">
        <v>58</v>
      </c>
      <c r="D137" s="22" t="s">
        <v>430</v>
      </c>
      <c r="E137" s="22" t="s">
        <v>281</v>
      </c>
      <c r="F137" s="22" t="s">
        <v>501</v>
      </c>
      <c r="G137" s="22" t="s">
        <v>347</v>
      </c>
      <c r="H137" s="22">
        <f>SUMIF(Table1[Admin3_Pcode],Table5[[#This Row],[Admin3_Pcode]],Table1[30.04.2025 Individus])</f>
        <v>0</v>
      </c>
      <c r="I137" s="22">
        <f>SUMIF(Table4[Admin3_Pcode],Table5[[#This Row],[Admin3_Pcode]],Table4[30.04.2025 Individus])</f>
        <v>16</v>
      </c>
      <c r="J137" s="23">
        <f>SUM(Table5[[#This Row],[Nbr PDI Sites
LR*]:[Nbr PDI Familles Accueil]])</f>
        <v>16</v>
      </c>
    </row>
    <row r="138" spans="1:10" x14ac:dyDescent="0.3">
      <c r="A138" s="21">
        <v>132</v>
      </c>
      <c r="B138" s="22" t="s">
        <v>104</v>
      </c>
      <c r="C138" s="22" t="s">
        <v>103</v>
      </c>
      <c r="D138" s="22" t="s">
        <v>109</v>
      </c>
      <c r="E138" s="22" t="s">
        <v>108</v>
      </c>
      <c r="F138" s="22" t="s">
        <v>121</v>
      </c>
      <c r="G138" s="22" t="s">
        <v>112</v>
      </c>
      <c r="H138" s="22">
        <f>SUMIF(Table1[Admin3_Pcode],Table5[[#This Row],[Admin3_Pcode]],Table1[30.04.2025 Individus])</f>
        <v>0</v>
      </c>
      <c r="I138" s="22">
        <f>SUMIF(Table4[Admin3_Pcode],Table5[[#This Row],[Admin3_Pcode]],Table4[30.04.2025 Individus])</f>
        <v>3349</v>
      </c>
      <c r="J138" s="23">
        <f>SUM(Table5[[#This Row],[Nbr PDI Sites
LR*]:[Nbr PDI Familles Accueil]])</f>
        <v>3349</v>
      </c>
    </row>
    <row r="139" spans="1:10" x14ac:dyDescent="0.3">
      <c r="A139" s="21">
        <v>133</v>
      </c>
      <c r="B139" s="22" t="s">
        <v>398</v>
      </c>
      <c r="C139" s="22" t="s">
        <v>246</v>
      </c>
      <c r="D139" s="22" t="s">
        <v>418</v>
      </c>
      <c r="E139" s="22" t="s">
        <v>266</v>
      </c>
      <c r="F139" s="22" t="s">
        <v>479</v>
      </c>
      <c r="G139" s="22" t="s">
        <v>332</v>
      </c>
      <c r="H139" s="22">
        <f>SUMIF(Table1[Admin3_Pcode],Table5[[#This Row],[Admin3_Pcode]],Table1[30.04.2025 Individus])</f>
        <v>0</v>
      </c>
      <c r="I139" s="22">
        <f>SUMIF(Table4[Admin3_Pcode],Table5[[#This Row],[Admin3_Pcode]],Table4[30.04.2025 Individus])</f>
        <v>121</v>
      </c>
      <c r="J139" s="23">
        <f>SUM(Table5[[#This Row],[Nbr PDI Sites
LR*]:[Nbr PDI Familles Accueil]])</f>
        <v>121</v>
      </c>
    </row>
    <row r="140" spans="1:10" x14ac:dyDescent="0.3">
      <c r="A140" s="21">
        <v>134</v>
      </c>
      <c r="B140" s="22" t="s">
        <v>401</v>
      </c>
      <c r="C140" s="22" t="s">
        <v>249</v>
      </c>
      <c r="D140" s="22" t="s">
        <v>433</v>
      </c>
      <c r="E140" s="22" t="s">
        <v>284</v>
      </c>
      <c r="F140" s="22" t="s">
        <v>516</v>
      </c>
      <c r="G140" s="22" t="s">
        <v>359</v>
      </c>
      <c r="H140" s="22">
        <f>SUMIF(Table1[Admin3_Pcode],Table5[[#This Row],[Admin3_Pcode]],Table1[30.04.2025 Individus])</f>
        <v>0</v>
      </c>
      <c r="I140" s="22">
        <f>SUMIF(Table4[Admin3_Pcode],Table5[[#This Row],[Admin3_Pcode]],Table4[30.04.2025 Individus])</f>
        <v>766</v>
      </c>
      <c r="J140" s="23">
        <f>SUM(Table5[[#This Row],[Nbr PDI Sites
LR*]:[Nbr PDI Familles Accueil]])</f>
        <v>766</v>
      </c>
    </row>
    <row r="141" spans="1:10" x14ac:dyDescent="0.3">
      <c r="A141" s="21">
        <v>135</v>
      </c>
      <c r="B141" s="22" t="s">
        <v>399</v>
      </c>
      <c r="C141" s="22" t="s">
        <v>247</v>
      </c>
      <c r="D141" s="22" t="s">
        <v>422</v>
      </c>
      <c r="E141" s="22" t="s">
        <v>270</v>
      </c>
      <c r="F141" s="22" t="s">
        <v>486</v>
      </c>
      <c r="G141" s="22" t="s">
        <v>300</v>
      </c>
      <c r="H141" s="22">
        <f>SUMIF(Table1[Admin3_Pcode],Table5[[#This Row],[Admin3_Pcode]],Table1[30.04.2025 Individus])</f>
        <v>0</v>
      </c>
      <c r="I141" s="22">
        <f>SUMIF(Table4[Admin3_Pcode],Table5[[#This Row],[Admin3_Pcode]],Table4[30.04.2025 Individus])</f>
        <v>140</v>
      </c>
      <c r="J141" s="23">
        <f>SUM(Table5[[#This Row],[Nbr PDI Sites
LR*]:[Nbr PDI Familles Accueil]])</f>
        <v>140</v>
      </c>
    </row>
    <row r="142" spans="1:10" x14ac:dyDescent="0.3">
      <c r="A142" s="21">
        <v>136</v>
      </c>
      <c r="B142" s="22" t="s">
        <v>402</v>
      </c>
      <c r="C142" s="22" t="s">
        <v>250</v>
      </c>
      <c r="D142" s="22" t="s">
        <v>447</v>
      </c>
      <c r="E142" s="22" t="s">
        <v>300</v>
      </c>
      <c r="F142" s="22" t="s">
        <v>697</v>
      </c>
      <c r="G142" s="22" t="s">
        <v>300</v>
      </c>
      <c r="H142" s="22">
        <f>SUMIF(Table1[Admin3_Pcode],Table5[[#This Row],[Admin3_Pcode]],Table1[30.04.2025 Individus])</f>
        <v>0</v>
      </c>
      <c r="I142" s="22">
        <f>SUMIF(Table4[Admin3_Pcode],Table5[[#This Row],[Admin3_Pcode]],Table4[30.04.2025 Individus])</f>
        <v>6522</v>
      </c>
      <c r="J142" s="23">
        <f>SUM(Table5[[#This Row],[Nbr PDI Sites
LR*]:[Nbr PDI Familles Accueil]])</f>
        <v>6522</v>
      </c>
    </row>
    <row r="143" spans="1:10" x14ac:dyDescent="0.3">
      <c r="A143" s="21">
        <v>137</v>
      </c>
      <c r="B143" s="22" t="s">
        <v>38</v>
      </c>
      <c r="C143" s="22" t="s">
        <v>37</v>
      </c>
      <c r="D143" s="22" t="s">
        <v>45</v>
      </c>
      <c r="E143" s="22" t="s">
        <v>44</v>
      </c>
      <c r="F143" s="22" t="s">
        <v>46</v>
      </c>
      <c r="G143" s="22" t="s">
        <v>44</v>
      </c>
      <c r="H143" s="22">
        <f>SUMIF(Table1[Admin3_Pcode],Table5[[#This Row],[Admin3_Pcode]],Table1[30.04.2025 Individus])</f>
        <v>9604</v>
      </c>
      <c r="I143" s="22">
        <f>SUMIF(Table4[Admin3_Pcode],Table5[[#This Row],[Admin3_Pcode]],Table4[30.04.2025 Individus])</f>
        <v>2815</v>
      </c>
      <c r="J143" s="23">
        <f>SUM(Table5[[#This Row],[Nbr PDI Sites
LR*]:[Nbr PDI Familles Accueil]])</f>
        <v>12419</v>
      </c>
    </row>
    <row r="144" spans="1:10" x14ac:dyDescent="0.3">
      <c r="A144" s="21">
        <v>138</v>
      </c>
      <c r="B144" s="22" t="s">
        <v>31</v>
      </c>
      <c r="C144" s="22" t="s">
        <v>30</v>
      </c>
      <c r="D144" s="22" t="s">
        <v>413</v>
      </c>
      <c r="E144" s="22" t="s">
        <v>261</v>
      </c>
      <c r="F144" s="22" t="s">
        <v>471</v>
      </c>
      <c r="G144" s="22" t="s">
        <v>261</v>
      </c>
      <c r="H144" s="22">
        <f>SUMIF(Table1[Admin3_Pcode],Table5[[#This Row],[Admin3_Pcode]],Table1[30.04.2025 Individus])</f>
        <v>0</v>
      </c>
      <c r="I144" s="22">
        <f>SUMIF(Table4[Admin3_Pcode],Table5[[#This Row],[Admin3_Pcode]],Table4[30.04.2025 Individus])</f>
        <v>804</v>
      </c>
      <c r="J144" s="23">
        <f>SUM(Table5[[#This Row],[Nbr PDI Sites
LR*]:[Nbr PDI Familles Accueil]])</f>
        <v>804</v>
      </c>
    </row>
    <row r="145" spans="1:10" x14ac:dyDescent="0.3">
      <c r="A145" s="21">
        <v>139</v>
      </c>
      <c r="B145" s="22" t="s">
        <v>400</v>
      </c>
      <c r="C145" s="22" t="s">
        <v>248</v>
      </c>
      <c r="D145" s="22" t="s">
        <v>424</v>
      </c>
      <c r="E145" s="22" t="s">
        <v>273</v>
      </c>
      <c r="F145" s="22" t="s">
        <v>492</v>
      </c>
      <c r="G145" s="22" t="s">
        <v>339</v>
      </c>
      <c r="H145" s="22">
        <f>SUMIF(Table1[Admin3_Pcode],Table5[[#This Row],[Admin3_Pcode]],Table1[30.04.2025 Individus])</f>
        <v>0</v>
      </c>
      <c r="I145" s="22">
        <f>SUMIF(Table4[Admin3_Pcode],Table5[[#This Row],[Admin3_Pcode]],Table4[30.04.2025 Individus])</f>
        <v>4073</v>
      </c>
      <c r="J145" s="23">
        <f>SUM(Table5[[#This Row],[Nbr PDI Sites
LR*]:[Nbr PDI Familles Accueil]])</f>
        <v>4073</v>
      </c>
    </row>
    <row r="146" spans="1:10" x14ac:dyDescent="0.3">
      <c r="A146" s="21">
        <v>140</v>
      </c>
      <c r="B146" s="22" t="s">
        <v>598</v>
      </c>
      <c r="C146" s="22" t="s">
        <v>597</v>
      </c>
      <c r="D146" s="22" t="s">
        <v>602</v>
      </c>
      <c r="E146" s="22" t="s">
        <v>140</v>
      </c>
      <c r="F146" s="22" t="s">
        <v>625</v>
      </c>
      <c r="G146" s="22" t="s">
        <v>146</v>
      </c>
      <c r="H146" s="22">
        <f>SUMIF(Table1[Admin3_Pcode],Table5[[#This Row],[Admin3_Pcode]],Table1[30.04.2025 Individus])</f>
        <v>24</v>
      </c>
      <c r="I146" s="22">
        <f>SUMIF(Table4[Admin3_Pcode],Table5[[#This Row],[Admin3_Pcode]],Table4[30.04.2025 Individus])</f>
        <v>4076</v>
      </c>
      <c r="J146" s="23">
        <f>SUM(Table5[[#This Row],[Nbr PDI Sites
LR*]:[Nbr PDI Familles Accueil]])</f>
        <v>4100</v>
      </c>
    </row>
    <row r="147" spans="1:10" x14ac:dyDescent="0.3">
      <c r="A147" s="21">
        <v>141</v>
      </c>
      <c r="B147" s="22" t="s">
        <v>19</v>
      </c>
      <c r="C147" s="22" t="s">
        <v>18</v>
      </c>
      <c r="D147" s="22" t="s">
        <v>411</v>
      </c>
      <c r="E147" s="22" t="s">
        <v>259</v>
      </c>
      <c r="F147" s="22" t="s">
        <v>467</v>
      </c>
      <c r="G147" s="22" t="s">
        <v>322</v>
      </c>
      <c r="H147" s="22">
        <f>SUMIF(Table1[Admin3_Pcode],Table5[[#This Row],[Admin3_Pcode]],Table1[30.04.2025 Individus])</f>
        <v>0</v>
      </c>
      <c r="I147" s="22">
        <f>SUMIF(Table4[Admin3_Pcode],Table5[[#This Row],[Admin3_Pcode]],Table4[30.04.2025 Individus])</f>
        <v>9371</v>
      </c>
      <c r="J147" s="23">
        <f>SUM(Table5[[#This Row],[Nbr PDI Sites
LR*]:[Nbr PDI Familles Accueil]])</f>
        <v>9371</v>
      </c>
    </row>
    <row r="148" spans="1:10" x14ac:dyDescent="0.3">
      <c r="A148" s="21">
        <v>142</v>
      </c>
      <c r="B148" s="22" t="s">
        <v>189</v>
      </c>
      <c r="C148" s="22" t="s">
        <v>188</v>
      </c>
      <c r="D148" s="22" t="s">
        <v>679</v>
      </c>
      <c r="E148" s="22" t="s">
        <v>396</v>
      </c>
      <c r="F148" s="22" t="s">
        <v>663</v>
      </c>
      <c r="G148" s="22" t="s">
        <v>396</v>
      </c>
      <c r="H148" s="22">
        <f>SUMIF(Table1[Admin3_Pcode],Table5[[#This Row],[Admin3_Pcode]],Table1[30.04.2025 Individus])</f>
        <v>0</v>
      </c>
      <c r="I148" s="22">
        <f>SUMIF(Table4[Admin3_Pcode],Table5[[#This Row],[Admin3_Pcode]],Table4[30.04.2025 Individus])</f>
        <v>2500</v>
      </c>
      <c r="J148" s="23">
        <f>SUM(Table5[[#This Row],[Nbr PDI Sites
LR*]:[Nbr PDI Familles Accueil]])</f>
        <v>2500</v>
      </c>
    </row>
    <row r="149" spans="1:10" x14ac:dyDescent="0.3">
      <c r="A149" s="21">
        <v>143</v>
      </c>
      <c r="B149" s="22" t="s">
        <v>31</v>
      </c>
      <c r="C149" s="22" t="s">
        <v>30</v>
      </c>
      <c r="D149" s="22" t="s">
        <v>680</v>
      </c>
      <c r="E149" s="22" t="s">
        <v>326</v>
      </c>
      <c r="F149" s="22" t="s">
        <v>639</v>
      </c>
      <c r="G149" s="22" t="s">
        <v>326</v>
      </c>
      <c r="H149" s="22">
        <f>SUMIF(Table1[Admin3_Pcode],Table5[[#This Row],[Admin3_Pcode]],Table1[30.04.2025 Individus])</f>
        <v>0</v>
      </c>
      <c r="I149" s="22">
        <f>SUMIF(Table4[Admin3_Pcode],Table5[[#This Row],[Admin3_Pcode]],Table4[30.04.2025 Individus])</f>
        <v>350</v>
      </c>
      <c r="J149" s="23">
        <f>SUM(Table5[[#This Row],[Nbr PDI Sites
LR*]:[Nbr PDI Familles Accueil]])</f>
        <v>350</v>
      </c>
    </row>
    <row r="150" spans="1:10" x14ac:dyDescent="0.3">
      <c r="A150" s="21">
        <v>144</v>
      </c>
      <c r="B150" s="22" t="s">
        <v>59</v>
      </c>
      <c r="C150" s="22" t="s">
        <v>58</v>
      </c>
      <c r="D150" s="22" t="s">
        <v>430</v>
      </c>
      <c r="E150" s="22" t="s">
        <v>281</v>
      </c>
      <c r="F150" s="22" t="s">
        <v>502</v>
      </c>
      <c r="G150" s="22" t="s">
        <v>281</v>
      </c>
      <c r="H150" s="22">
        <f>SUMIF(Table1[Admin3_Pcode],Table5[[#This Row],[Admin3_Pcode]],Table1[30.04.2025 Individus])</f>
        <v>0</v>
      </c>
      <c r="I150" s="22">
        <f>SUMIF(Table4[Admin3_Pcode],Table5[[#This Row],[Admin3_Pcode]],Table4[30.04.2025 Individus])</f>
        <v>40</v>
      </c>
      <c r="J150" s="23">
        <f>SUM(Table5[[#This Row],[Nbr PDI Sites
LR*]:[Nbr PDI Familles Accueil]])</f>
        <v>40</v>
      </c>
    </row>
    <row r="151" spans="1:10" x14ac:dyDescent="0.3">
      <c r="A151" s="21">
        <v>145</v>
      </c>
      <c r="B151" s="22" t="s">
        <v>598</v>
      </c>
      <c r="C151" s="22" t="s">
        <v>597</v>
      </c>
      <c r="D151" s="22" t="s">
        <v>601</v>
      </c>
      <c r="E151" s="22" t="s">
        <v>136</v>
      </c>
      <c r="F151" s="22" t="s">
        <v>624</v>
      </c>
      <c r="G151" s="22" t="s">
        <v>152</v>
      </c>
      <c r="H151" s="22">
        <f>SUMIF(Table1[Admin3_Pcode],Table5[[#This Row],[Admin3_Pcode]],Table1[30.04.2025 Individus])</f>
        <v>1095</v>
      </c>
      <c r="I151" s="22">
        <f>SUMIF(Table4[Admin3_Pcode],Table5[[#This Row],[Admin3_Pcode]],Table4[30.04.2025 Individus])</f>
        <v>2898</v>
      </c>
      <c r="J151" s="23">
        <f>SUM(Table5[[#This Row],[Nbr PDI Sites
LR*]:[Nbr PDI Familles Accueil]])</f>
        <v>3993</v>
      </c>
    </row>
    <row r="152" spans="1:10" x14ac:dyDescent="0.3">
      <c r="A152" s="21">
        <v>146</v>
      </c>
      <c r="B152" s="22" t="s">
        <v>135</v>
      </c>
      <c r="C152" s="22" t="s">
        <v>134</v>
      </c>
      <c r="D152" s="22" t="s">
        <v>181</v>
      </c>
      <c r="E152" s="22" t="s">
        <v>180</v>
      </c>
      <c r="F152" s="22" t="s">
        <v>535</v>
      </c>
      <c r="G152" s="22" t="s">
        <v>374</v>
      </c>
      <c r="H152" s="22">
        <f>SUMIF(Table1[Admin3_Pcode],Table5[[#This Row],[Admin3_Pcode]],Table1[30.04.2025 Individus])</f>
        <v>0</v>
      </c>
      <c r="I152" s="22">
        <f>SUMIF(Table4[Admin3_Pcode],Table5[[#This Row],[Admin3_Pcode]],Table4[30.04.2025 Individus])</f>
        <v>3688</v>
      </c>
      <c r="J152" s="23">
        <f>SUM(Table5[[#This Row],[Nbr PDI Sites
LR*]:[Nbr PDI Familles Accueil]])</f>
        <v>3688</v>
      </c>
    </row>
    <row r="153" spans="1:10" x14ac:dyDescent="0.3">
      <c r="A153" s="21">
        <v>147</v>
      </c>
      <c r="B153" s="22" t="s">
        <v>598</v>
      </c>
      <c r="C153" s="22" t="s">
        <v>597</v>
      </c>
      <c r="D153" s="22" t="s">
        <v>603</v>
      </c>
      <c r="E153" s="22" t="s">
        <v>156</v>
      </c>
      <c r="F153" s="22" t="s">
        <v>650</v>
      </c>
      <c r="G153" s="22" t="s">
        <v>378</v>
      </c>
      <c r="H153" s="22">
        <f>SUMIF(Table1[Admin3_Pcode],Table5[[#This Row],[Admin3_Pcode]],Table1[30.04.2025 Individus])</f>
        <v>0</v>
      </c>
      <c r="I153" s="22">
        <f>SUMIF(Table4[Admin3_Pcode],Table5[[#This Row],[Admin3_Pcode]],Table4[30.04.2025 Individus])</f>
        <v>685</v>
      </c>
      <c r="J153" s="23">
        <f>SUM(Table5[[#This Row],[Nbr PDI Sites
LR*]:[Nbr PDI Familles Accueil]])</f>
        <v>685</v>
      </c>
    </row>
    <row r="154" spans="1:10" x14ac:dyDescent="0.3">
      <c r="A154" s="21">
        <v>148</v>
      </c>
      <c r="B154" s="22" t="s">
        <v>605</v>
      </c>
      <c r="C154" s="22" t="s">
        <v>604</v>
      </c>
      <c r="D154" s="22" t="s">
        <v>612</v>
      </c>
      <c r="E154" s="22" t="s">
        <v>297</v>
      </c>
      <c r="F154" s="22" t="s">
        <v>656</v>
      </c>
      <c r="G154" s="22" t="s">
        <v>297</v>
      </c>
      <c r="H154" s="22">
        <f>SUMIF(Table1[Admin3_Pcode],Table5[[#This Row],[Admin3_Pcode]],Table1[30.04.2025 Individus])</f>
        <v>0</v>
      </c>
      <c r="I154" s="22">
        <f>SUMIF(Table4[Admin3_Pcode],Table5[[#This Row],[Admin3_Pcode]],Table4[30.04.2025 Individus])</f>
        <v>235</v>
      </c>
      <c r="J154" s="23">
        <f>SUM(Table5[[#This Row],[Nbr PDI Sites
LR*]:[Nbr PDI Familles Accueil]])</f>
        <v>235</v>
      </c>
    </row>
    <row r="155" spans="1:10" x14ac:dyDescent="0.3">
      <c r="A155" s="21">
        <v>149</v>
      </c>
      <c r="B155" s="22" t="s">
        <v>185</v>
      </c>
      <c r="C155" s="22" t="s">
        <v>184</v>
      </c>
      <c r="D155" s="22" t="s">
        <v>187</v>
      </c>
      <c r="E155" s="22" t="s">
        <v>186</v>
      </c>
      <c r="F155" s="22" t="s">
        <v>540</v>
      </c>
      <c r="G155" s="22" t="s">
        <v>379</v>
      </c>
      <c r="H155" s="22">
        <f>SUMIF(Table1[Admin3_Pcode],Table5[[#This Row],[Admin3_Pcode]],Table1[30.04.2025 Individus])</f>
        <v>0</v>
      </c>
      <c r="I155" s="22">
        <f>SUMIF(Table4[Admin3_Pcode],Table5[[#This Row],[Admin3_Pcode]],Table4[30.04.2025 Individus])</f>
        <v>317</v>
      </c>
      <c r="J155" s="23">
        <f>SUM(Table5[[#This Row],[Nbr PDI Sites
LR*]:[Nbr PDI Familles Accueil]])</f>
        <v>317</v>
      </c>
    </row>
    <row r="156" spans="1:10" x14ac:dyDescent="0.3">
      <c r="A156" s="21">
        <v>150</v>
      </c>
      <c r="B156" s="22" t="s">
        <v>399</v>
      </c>
      <c r="C156" s="22" t="s">
        <v>247</v>
      </c>
      <c r="D156" s="22" t="s">
        <v>422</v>
      </c>
      <c r="E156" s="22" t="s">
        <v>270</v>
      </c>
      <c r="F156" s="22" t="s">
        <v>487</v>
      </c>
      <c r="G156" s="22" t="s">
        <v>335</v>
      </c>
      <c r="H156" s="22">
        <f>SUMIF(Table1[Admin3_Pcode],Table5[[#This Row],[Admin3_Pcode]],Table1[30.04.2025 Individus])</f>
        <v>0</v>
      </c>
      <c r="I156" s="22">
        <f>SUMIF(Table4[Admin3_Pcode],Table5[[#This Row],[Admin3_Pcode]],Table4[30.04.2025 Individus])</f>
        <v>135</v>
      </c>
      <c r="J156" s="23">
        <f>SUM(Table5[[#This Row],[Nbr PDI Sites
LR*]:[Nbr PDI Familles Accueil]])</f>
        <v>135</v>
      </c>
    </row>
    <row r="157" spans="1:10" x14ac:dyDescent="0.3">
      <c r="A157" s="21">
        <v>151</v>
      </c>
      <c r="B157" s="22" t="s">
        <v>104</v>
      </c>
      <c r="C157" s="22" t="s">
        <v>103</v>
      </c>
      <c r="D157" s="22" t="s">
        <v>109</v>
      </c>
      <c r="E157" s="22" t="s">
        <v>108</v>
      </c>
      <c r="F157" s="22" t="s">
        <v>125</v>
      </c>
      <c r="G157" s="22" t="s">
        <v>124</v>
      </c>
      <c r="H157" s="22">
        <f>SUMIF(Table1[Admin3_Pcode],Table5[[#This Row],[Admin3_Pcode]],Table1[30.04.2025 Individus])</f>
        <v>913</v>
      </c>
      <c r="I157" s="22">
        <f>SUMIF(Table4[Admin3_Pcode],Table5[[#This Row],[Admin3_Pcode]],Table4[30.04.2025 Individus])</f>
        <v>3083</v>
      </c>
      <c r="J157" s="23">
        <f>SUM(Table5[[#This Row],[Nbr PDI Sites
LR*]:[Nbr PDI Familles Accueil]])</f>
        <v>3996</v>
      </c>
    </row>
    <row r="158" spans="1:10" x14ac:dyDescent="0.3">
      <c r="A158" s="21">
        <v>152</v>
      </c>
      <c r="B158" s="22" t="s">
        <v>104</v>
      </c>
      <c r="C158" s="22" t="s">
        <v>103</v>
      </c>
      <c r="D158" s="22" t="s">
        <v>441</v>
      </c>
      <c r="E158" s="22" t="s">
        <v>292</v>
      </c>
      <c r="F158" s="22" t="s">
        <v>698</v>
      </c>
      <c r="G158" s="22" t="s">
        <v>714</v>
      </c>
      <c r="H158" s="22">
        <f>SUMIF(Table1[Admin3_Pcode],Table5[[#This Row],[Admin3_Pcode]],Table1[30.04.2025 Individus])</f>
        <v>0</v>
      </c>
      <c r="I158" s="22">
        <f>SUMIF(Table4[Admin3_Pcode],Table5[[#This Row],[Admin3_Pcode]],Table4[30.04.2025 Individus])</f>
        <v>14</v>
      </c>
      <c r="J158" s="23">
        <f>SUM(Table5[[#This Row],[Nbr PDI Sites
LR*]:[Nbr PDI Familles Accueil]])</f>
        <v>14</v>
      </c>
    </row>
    <row r="159" spans="1:10" x14ac:dyDescent="0.3">
      <c r="A159" s="21">
        <v>153</v>
      </c>
      <c r="B159" s="22" t="s">
        <v>59</v>
      </c>
      <c r="C159" s="22" t="s">
        <v>58</v>
      </c>
      <c r="D159" s="22" t="s">
        <v>61</v>
      </c>
      <c r="E159" s="22" t="s">
        <v>60</v>
      </c>
      <c r="F159" s="22" t="s">
        <v>62</v>
      </c>
      <c r="G159" s="22" t="s">
        <v>60</v>
      </c>
      <c r="H159" s="22">
        <f>SUMIF(Table1[Admin3_Pcode],Table5[[#This Row],[Admin3_Pcode]],Table1[30.04.2025 Individus])</f>
        <v>2178</v>
      </c>
      <c r="I159" s="22">
        <f>SUMIF(Table4[Admin3_Pcode],Table5[[#This Row],[Admin3_Pcode]],Table4[30.04.2025 Individus])</f>
        <v>804</v>
      </c>
      <c r="J159" s="23">
        <f>SUM(Table5[[#This Row],[Nbr PDI Sites
LR*]:[Nbr PDI Familles Accueil]])</f>
        <v>2982</v>
      </c>
    </row>
    <row r="160" spans="1:10" x14ac:dyDescent="0.3">
      <c r="A160" s="21">
        <v>154</v>
      </c>
      <c r="B160" s="22" t="s">
        <v>189</v>
      </c>
      <c r="C160" s="22" t="s">
        <v>188</v>
      </c>
      <c r="D160" s="22" t="s">
        <v>191</v>
      </c>
      <c r="E160" s="22" t="s">
        <v>190</v>
      </c>
      <c r="F160" s="22" t="s">
        <v>547</v>
      </c>
      <c r="G160" s="22" t="s">
        <v>395</v>
      </c>
      <c r="H160" s="22">
        <f>SUMIF(Table1[Admin3_Pcode],Table5[[#This Row],[Admin3_Pcode]],Table1[30.04.2025 Individus])</f>
        <v>1050</v>
      </c>
      <c r="I160" s="22">
        <f>SUMIF(Table4[Admin3_Pcode],Table5[[#This Row],[Admin3_Pcode]],Table4[30.04.2025 Individus])</f>
        <v>1254</v>
      </c>
      <c r="J160" s="23">
        <f>SUM(Table5[[#This Row],[Nbr PDI Sites
LR*]:[Nbr PDI Familles Accueil]])</f>
        <v>2304</v>
      </c>
    </row>
    <row r="161" spans="1:10" x14ac:dyDescent="0.3">
      <c r="A161" s="21">
        <v>155</v>
      </c>
      <c r="B161" s="22" t="s">
        <v>402</v>
      </c>
      <c r="C161" s="22" t="s">
        <v>250</v>
      </c>
      <c r="D161" s="22" t="s">
        <v>447</v>
      </c>
      <c r="E161" s="22" t="s">
        <v>300</v>
      </c>
      <c r="F161" s="22" t="s">
        <v>546</v>
      </c>
      <c r="G161" s="22" t="s">
        <v>394</v>
      </c>
      <c r="H161" s="22">
        <f>SUMIF(Table1[Admin3_Pcode],Table5[[#This Row],[Admin3_Pcode]],Table1[30.04.2025 Individus])</f>
        <v>0</v>
      </c>
      <c r="I161" s="22">
        <f>SUMIF(Table4[Admin3_Pcode],Table5[[#This Row],[Admin3_Pcode]],Table4[30.04.2025 Individus])</f>
        <v>735</v>
      </c>
      <c r="J161" s="23">
        <f>SUM(Table5[[#This Row],[Nbr PDI Sites
LR*]:[Nbr PDI Familles Accueil]])</f>
        <v>735</v>
      </c>
    </row>
    <row r="162" spans="1:10" x14ac:dyDescent="0.3">
      <c r="A162" s="21">
        <v>156</v>
      </c>
      <c r="B162" s="22" t="s">
        <v>31</v>
      </c>
      <c r="C162" s="22" t="s">
        <v>30</v>
      </c>
      <c r="D162" s="22" t="s">
        <v>33</v>
      </c>
      <c r="E162" s="22" t="s">
        <v>32</v>
      </c>
      <c r="F162" s="22" t="s">
        <v>35</v>
      </c>
      <c r="G162" s="22" t="s">
        <v>34</v>
      </c>
      <c r="H162" s="22">
        <f>SUMIF(Table1[Admin3_Pcode],Table5[[#This Row],[Admin3_Pcode]],Table1[30.04.2025 Individus])</f>
        <v>9711</v>
      </c>
      <c r="I162" s="22">
        <f>SUMIF(Table4[Admin3_Pcode],Table5[[#This Row],[Admin3_Pcode]],Table4[30.04.2025 Individus])</f>
        <v>10599</v>
      </c>
      <c r="J162" s="23">
        <f>SUM(Table5[[#This Row],[Nbr PDI Sites
LR*]:[Nbr PDI Familles Accueil]])</f>
        <v>20310</v>
      </c>
    </row>
    <row r="163" spans="1:10" x14ac:dyDescent="0.3">
      <c r="A163" s="21">
        <v>157</v>
      </c>
      <c r="B163" s="22" t="s">
        <v>59</v>
      </c>
      <c r="C163" s="22" t="s">
        <v>58</v>
      </c>
      <c r="D163" s="22" t="s">
        <v>428</v>
      </c>
      <c r="E163" s="22" t="s">
        <v>279</v>
      </c>
      <c r="F163" s="22" t="s">
        <v>496</v>
      </c>
      <c r="G163" s="22" t="s">
        <v>343</v>
      </c>
      <c r="H163" s="22">
        <f>SUMIF(Table1[Admin3_Pcode],Table5[[#This Row],[Admin3_Pcode]],Table1[30.04.2025 Individus])</f>
        <v>0</v>
      </c>
      <c r="I163" s="22">
        <f>SUMIF(Table4[Admin3_Pcode],Table5[[#This Row],[Admin3_Pcode]],Table4[30.04.2025 Individus])</f>
        <v>75</v>
      </c>
      <c r="J163" s="23">
        <f>SUM(Table5[[#This Row],[Nbr PDI Sites
LR*]:[Nbr PDI Familles Accueil]])</f>
        <v>75</v>
      </c>
    </row>
    <row r="164" spans="1:10" x14ac:dyDescent="0.3">
      <c r="A164" s="21">
        <v>158</v>
      </c>
      <c r="B164" s="22" t="s">
        <v>19</v>
      </c>
      <c r="C164" s="22" t="s">
        <v>18</v>
      </c>
      <c r="D164" s="22" t="s">
        <v>409</v>
      </c>
      <c r="E164" s="22" t="s">
        <v>257</v>
      </c>
      <c r="F164" s="22" t="s">
        <v>699</v>
      </c>
      <c r="G164" s="22" t="s">
        <v>715</v>
      </c>
      <c r="H164" s="22">
        <f>SUMIF(Table1[Admin3_Pcode],Table5[[#This Row],[Admin3_Pcode]],Table1[30.04.2025 Individus])</f>
        <v>0</v>
      </c>
      <c r="I164" s="22">
        <f>SUMIF(Table4[Admin3_Pcode],Table5[[#This Row],[Admin3_Pcode]],Table4[30.04.2025 Individus])</f>
        <v>0</v>
      </c>
      <c r="J164" s="23">
        <f>SUM(Table5[[#This Row],[Nbr PDI Sites
LR*]:[Nbr PDI Familles Accueil]])</f>
        <v>0</v>
      </c>
    </row>
    <row r="165" spans="1:10" x14ac:dyDescent="0.3">
      <c r="A165" s="21">
        <v>159</v>
      </c>
      <c r="B165" s="22" t="s">
        <v>607</v>
      </c>
      <c r="C165" s="22" t="s">
        <v>606</v>
      </c>
      <c r="D165" s="22" t="s">
        <v>681</v>
      </c>
      <c r="E165" s="22" t="s">
        <v>682</v>
      </c>
      <c r="F165" s="22" t="s">
        <v>700</v>
      </c>
      <c r="G165" s="22" t="s">
        <v>682</v>
      </c>
      <c r="H165" s="22">
        <f>SUMIF(Table1[Admin3_Pcode],Table5[[#This Row],[Admin3_Pcode]],Table1[30.04.2025 Individus])</f>
        <v>0</v>
      </c>
      <c r="I165" s="22">
        <f>SUMIF(Table4[Admin3_Pcode],Table5[[#This Row],[Admin3_Pcode]],Table4[30.04.2025 Individus])</f>
        <v>0</v>
      </c>
      <c r="J165" s="23">
        <f>SUM(Table5[[#This Row],[Nbr PDI Sites
LR*]:[Nbr PDI Familles Accueil]])</f>
        <v>0</v>
      </c>
    </row>
    <row r="166" spans="1:10" x14ac:dyDescent="0.3">
      <c r="A166" s="21">
        <v>160</v>
      </c>
      <c r="B166" s="22" t="s">
        <v>398</v>
      </c>
      <c r="C166" s="22" t="s">
        <v>246</v>
      </c>
      <c r="D166" s="22" t="s">
        <v>418</v>
      </c>
      <c r="E166" s="22" t="s">
        <v>266</v>
      </c>
      <c r="F166" s="22" t="s">
        <v>480</v>
      </c>
      <c r="G166" s="22" t="s">
        <v>266</v>
      </c>
      <c r="H166" s="22">
        <f>SUMIF(Table1[Admin3_Pcode],Table5[[#This Row],[Admin3_Pcode]],Table1[30.04.2025 Individus])</f>
        <v>0</v>
      </c>
      <c r="I166" s="22">
        <f>SUMIF(Table4[Admin3_Pcode],Table5[[#This Row],[Admin3_Pcode]],Table4[30.04.2025 Individus])</f>
        <v>1044</v>
      </c>
      <c r="J166" s="23">
        <f>SUM(Table5[[#This Row],[Nbr PDI Sites
LR*]:[Nbr PDI Familles Accueil]])</f>
        <v>1044</v>
      </c>
    </row>
    <row r="167" spans="1:10" x14ac:dyDescent="0.3">
      <c r="A167" s="21">
        <v>161</v>
      </c>
      <c r="B167" s="22" t="s">
        <v>598</v>
      </c>
      <c r="C167" s="22" t="s">
        <v>597</v>
      </c>
      <c r="D167" s="22" t="s">
        <v>602</v>
      </c>
      <c r="E167" s="22" t="s">
        <v>140</v>
      </c>
      <c r="F167" s="22" t="s">
        <v>617</v>
      </c>
      <c r="G167" s="22" t="s">
        <v>141</v>
      </c>
      <c r="H167" s="22">
        <f>SUMIF(Table1[Admin3_Pcode],Table5[[#This Row],[Admin3_Pcode]],Table1[30.04.2025 Individus])</f>
        <v>4156</v>
      </c>
      <c r="I167" s="22">
        <f>SUMIF(Table4[Admin3_Pcode],Table5[[#This Row],[Admin3_Pcode]],Table4[30.04.2025 Individus])</f>
        <v>9958</v>
      </c>
      <c r="J167" s="23">
        <f>SUM(Table5[[#This Row],[Nbr PDI Sites
LR*]:[Nbr PDI Familles Accueil]])</f>
        <v>14114</v>
      </c>
    </row>
    <row r="168" spans="1:10" x14ac:dyDescent="0.3">
      <c r="A168" s="21">
        <v>162</v>
      </c>
      <c r="B168" s="22" t="s">
        <v>19</v>
      </c>
      <c r="C168" s="22" t="s">
        <v>18</v>
      </c>
      <c r="D168" s="22" t="s">
        <v>409</v>
      </c>
      <c r="E168" s="22" t="s">
        <v>257</v>
      </c>
      <c r="F168" s="22" t="s">
        <v>701</v>
      </c>
      <c r="G168" s="22" t="s">
        <v>716</v>
      </c>
      <c r="H168" s="22">
        <f>SUMIF(Table1[Admin3_Pcode],Table5[[#This Row],[Admin3_Pcode]],Table1[30.04.2025 Individus])</f>
        <v>0</v>
      </c>
      <c r="I168" s="22">
        <f>SUMIF(Table4[Admin3_Pcode],Table5[[#This Row],[Admin3_Pcode]],Table4[30.04.2025 Individus])</f>
        <v>0</v>
      </c>
      <c r="J168" s="23">
        <f>SUM(Table5[[#This Row],[Nbr PDI Sites
LR*]:[Nbr PDI Familles Accueil]])</f>
        <v>0</v>
      </c>
    </row>
    <row r="169" spans="1:10" x14ac:dyDescent="0.3">
      <c r="A169" s="21">
        <v>163</v>
      </c>
      <c r="B169" s="22" t="s">
        <v>135</v>
      </c>
      <c r="C169" s="22" t="s">
        <v>134</v>
      </c>
      <c r="D169" s="22" t="s">
        <v>181</v>
      </c>
      <c r="E169" s="22" t="s">
        <v>180</v>
      </c>
      <c r="F169" s="22" t="s">
        <v>534</v>
      </c>
      <c r="G169" s="22" t="s">
        <v>373</v>
      </c>
      <c r="H169" s="22">
        <f>SUMIF(Table1[Admin3_Pcode],Table5[[#This Row],[Admin3_Pcode]],Table1[30.04.2025 Individus])</f>
        <v>0</v>
      </c>
      <c r="I169" s="22">
        <f>SUMIF(Table4[Admin3_Pcode],Table5[[#This Row],[Admin3_Pcode]],Table4[30.04.2025 Individus])</f>
        <v>3556</v>
      </c>
      <c r="J169" s="23">
        <f>SUM(Table5[[#This Row],[Nbr PDI Sites
LR*]:[Nbr PDI Familles Accueil]])</f>
        <v>3556</v>
      </c>
    </row>
    <row r="170" spans="1:10" x14ac:dyDescent="0.3">
      <c r="A170" s="21">
        <v>164</v>
      </c>
      <c r="B170" s="22" t="s">
        <v>398</v>
      </c>
      <c r="C170" s="22" t="s">
        <v>246</v>
      </c>
      <c r="D170" s="22" t="s">
        <v>415</v>
      </c>
      <c r="E170" s="22" t="s">
        <v>263</v>
      </c>
      <c r="F170" s="22" t="s">
        <v>474</v>
      </c>
      <c r="G170" s="22" t="s">
        <v>328</v>
      </c>
      <c r="H170" s="22">
        <f>SUMIF(Table1[Admin3_Pcode],Table5[[#This Row],[Admin3_Pcode]],Table1[30.04.2025 Individus])</f>
        <v>0</v>
      </c>
      <c r="I170" s="22">
        <f>SUMIF(Table4[Admin3_Pcode],Table5[[#This Row],[Admin3_Pcode]],Table4[30.04.2025 Individus])</f>
        <v>1705</v>
      </c>
      <c r="J170" s="23">
        <f>SUM(Table5[[#This Row],[Nbr PDI Sites
LR*]:[Nbr PDI Familles Accueil]])</f>
        <v>1705</v>
      </c>
    </row>
    <row r="171" spans="1:10" x14ac:dyDescent="0.3">
      <c r="A171" s="21">
        <v>165</v>
      </c>
      <c r="B171" s="22" t="s">
        <v>607</v>
      </c>
      <c r="C171" s="22" t="s">
        <v>606</v>
      </c>
      <c r="D171" s="22" t="s">
        <v>611</v>
      </c>
      <c r="E171" s="22" t="s">
        <v>276</v>
      </c>
      <c r="F171" s="22" t="s">
        <v>643</v>
      </c>
      <c r="G171" s="22" t="s">
        <v>341</v>
      </c>
      <c r="H171" s="22">
        <f>SUMIF(Table1[Admin3_Pcode],Table5[[#This Row],[Admin3_Pcode]],Table1[30.04.2025 Individus])</f>
        <v>0</v>
      </c>
      <c r="I171" s="22">
        <f>SUMIF(Table4[Admin3_Pcode],Table5[[#This Row],[Admin3_Pcode]],Table4[30.04.2025 Individus])</f>
        <v>168</v>
      </c>
      <c r="J171" s="23">
        <f>SUM(Table5[[#This Row],[Nbr PDI Sites
LR*]:[Nbr PDI Familles Accueil]])</f>
        <v>168</v>
      </c>
    </row>
    <row r="172" spans="1:10" x14ac:dyDescent="0.3">
      <c r="A172" s="21">
        <v>166</v>
      </c>
      <c r="B172" s="22" t="s">
        <v>2</v>
      </c>
      <c r="C172" s="22" t="s">
        <v>1</v>
      </c>
      <c r="D172" s="22" t="s">
        <v>406</v>
      </c>
      <c r="E172" s="22" t="s">
        <v>254</v>
      </c>
      <c r="F172" s="22" t="s">
        <v>453</v>
      </c>
      <c r="G172" s="22" t="s">
        <v>305</v>
      </c>
      <c r="H172" s="22">
        <f>SUMIF(Table1[Admin3_Pcode],Table5[[#This Row],[Admin3_Pcode]],Table1[30.04.2025 Individus])</f>
        <v>0</v>
      </c>
      <c r="I172" s="22">
        <f>SUMIF(Table4[Admin3_Pcode],Table5[[#This Row],[Admin3_Pcode]],Table4[30.04.2025 Individus])</f>
        <v>614</v>
      </c>
      <c r="J172" s="23">
        <f>SUM(Table5[[#This Row],[Nbr PDI Sites
LR*]:[Nbr PDI Familles Accueil]])</f>
        <v>614</v>
      </c>
    </row>
    <row r="173" spans="1:10" x14ac:dyDescent="0.3">
      <c r="A173" s="21">
        <v>167</v>
      </c>
      <c r="B173" s="22" t="s">
        <v>189</v>
      </c>
      <c r="C173" s="22" t="s">
        <v>188</v>
      </c>
      <c r="D173" s="22" t="s">
        <v>448</v>
      </c>
      <c r="E173" s="22" t="s">
        <v>301</v>
      </c>
      <c r="F173" s="22" t="s">
        <v>548</v>
      </c>
      <c r="G173" s="22" t="s">
        <v>397</v>
      </c>
      <c r="H173" s="22">
        <f>SUMIF(Table1[Admin3_Pcode],Table5[[#This Row],[Admin3_Pcode]],Table1[30.04.2025 Individus])</f>
        <v>0</v>
      </c>
      <c r="I173" s="22">
        <f>SUMIF(Table4[Admin3_Pcode],Table5[[#This Row],[Admin3_Pcode]],Table4[30.04.2025 Individus])</f>
        <v>345</v>
      </c>
      <c r="J173" s="23">
        <f>SUM(Table5[[#This Row],[Nbr PDI Sites
LR*]:[Nbr PDI Familles Accueil]])</f>
        <v>345</v>
      </c>
    </row>
    <row r="174" spans="1:10" x14ac:dyDescent="0.3">
      <c r="A174" s="21">
        <v>168</v>
      </c>
      <c r="B174" s="22" t="s">
        <v>59</v>
      </c>
      <c r="C174" s="22" t="s">
        <v>58</v>
      </c>
      <c r="D174" s="22" t="s">
        <v>428</v>
      </c>
      <c r="E174" s="22" t="s">
        <v>279</v>
      </c>
      <c r="F174" s="22" t="s">
        <v>497</v>
      </c>
      <c r="G174" s="22" t="s">
        <v>344</v>
      </c>
      <c r="H174" s="22">
        <f>SUMIF(Table1[Admin3_Pcode],Table5[[#This Row],[Admin3_Pcode]],Table1[30.04.2025 Individus])</f>
        <v>0</v>
      </c>
      <c r="I174" s="22">
        <f>SUMIF(Table4[Admin3_Pcode],Table5[[#This Row],[Admin3_Pcode]],Table4[30.04.2025 Individus])</f>
        <v>0</v>
      </c>
      <c r="J174" s="23">
        <f>SUM(Table5[[#This Row],[Nbr PDI Sites
LR*]:[Nbr PDI Familles Accueil]])</f>
        <v>0</v>
      </c>
    </row>
    <row r="175" spans="1:10" x14ac:dyDescent="0.3">
      <c r="A175" s="21">
        <v>169</v>
      </c>
      <c r="B175" s="22" t="s">
        <v>19</v>
      </c>
      <c r="C175" s="22" t="s">
        <v>18</v>
      </c>
      <c r="D175" s="22" t="s">
        <v>411</v>
      </c>
      <c r="E175" s="22" t="s">
        <v>259</v>
      </c>
      <c r="F175" s="22" t="s">
        <v>466</v>
      </c>
      <c r="G175" s="22" t="s">
        <v>321</v>
      </c>
      <c r="H175" s="22">
        <f>SUMIF(Table1[Admin3_Pcode],Table5[[#This Row],[Admin3_Pcode]],Table1[30.04.2025 Individus])</f>
        <v>0</v>
      </c>
      <c r="I175" s="22">
        <f>SUMIF(Table4[Admin3_Pcode],Table5[[#This Row],[Admin3_Pcode]],Table4[30.04.2025 Individus])</f>
        <v>3995</v>
      </c>
      <c r="J175" s="23">
        <f>SUM(Table5[[#This Row],[Nbr PDI Sites
LR*]:[Nbr PDI Familles Accueil]])</f>
        <v>3995</v>
      </c>
    </row>
    <row r="176" spans="1:10" x14ac:dyDescent="0.3">
      <c r="A176" s="21">
        <v>170</v>
      </c>
      <c r="B176" s="22" t="s">
        <v>31</v>
      </c>
      <c r="C176" s="22" t="s">
        <v>30</v>
      </c>
      <c r="D176" s="22" t="s">
        <v>414</v>
      </c>
      <c r="E176" s="22" t="s">
        <v>262</v>
      </c>
      <c r="F176" s="22" t="s">
        <v>472</v>
      </c>
      <c r="G176" s="22" t="s">
        <v>262</v>
      </c>
      <c r="H176" s="22">
        <f>SUMIF(Table1[Admin3_Pcode],Table5[[#This Row],[Admin3_Pcode]],Table1[30.04.2025 Individus])</f>
        <v>0</v>
      </c>
      <c r="I176" s="22">
        <f>SUMIF(Table4[Admin3_Pcode],Table5[[#This Row],[Admin3_Pcode]],Table4[30.04.2025 Individus])</f>
        <v>64</v>
      </c>
      <c r="J176" s="23">
        <f>SUM(Table5[[#This Row],[Nbr PDI Sites
LR*]:[Nbr PDI Familles Accueil]])</f>
        <v>64</v>
      </c>
    </row>
    <row r="177" spans="1:10" x14ac:dyDescent="0.3">
      <c r="A177" s="21">
        <v>171</v>
      </c>
      <c r="B177" s="22" t="s">
        <v>97</v>
      </c>
      <c r="C177" s="22" t="s">
        <v>96</v>
      </c>
      <c r="D177" s="22" t="s">
        <v>440</v>
      </c>
      <c r="E177" s="22" t="s">
        <v>291</v>
      </c>
      <c r="F177" s="22" t="s">
        <v>524</v>
      </c>
      <c r="G177" s="22" t="s">
        <v>291</v>
      </c>
      <c r="H177" s="22">
        <f>SUMIF(Table1[Admin3_Pcode],Table5[[#This Row],[Admin3_Pcode]],Table1[30.04.2025 Individus])</f>
        <v>0</v>
      </c>
      <c r="I177" s="22">
        <f>SUMIF(Table4[Admin3_Pcode],Table5[[#This Row],[Admin3_Pcode]],Table4[30.04.2025 Individus])</f>
        <v>6050</v>
      </c>
      <c r="J177" s="23">
        <f>SUM(Table5[[#This Row],[Nbr PDI Sites
LR*]:[Nbr PDI Familles Accueil]])</f>
        <v>6050</v>
      </c>
    </row>
    <row r="178" spans="1:10" x14ac:dyDescent="0.3">
      <c r="A178" s="21">
        <v>172</v>
      </c>
      <c r="B178" s="22" t="s">
        <v>19</v>
      </c>
      <c r="C178" s="22" t="s">
        <v>18</v>
      </c>
      <c r="D178" s="22" t="s">
        <v>21</v>
      </c>
      <c r="E178" s="22" t="s">
        <v>20</v>
      </c>
      <c r="F178" s="22" t="s">
        <v>458</v>
      </c>
      <c r="G178" s="22" t="s">
        <v>315</v>
      </c>
      <c r="H178" s="22">
        <f>SUMIF(Table1[Admin3_Pcode],Table5[[#This Row],[Admin3_Pcode]],Table1[30.04.2025 Individus])</f>
        <v>0</v>
      </c>
      <c r="I178" s="22">
        <f>SUMIF(Table4[Admin3_Pcode],Table5[[#This Row],[Admin3_Pcode]],Table4[30.04.2025 Individus])</f>
        <v>0</v>
      </c>
      <c r="J178" s="23">
        <f>SUM(Table5[[#This Row],[Nbr PDI Sites
LR*]:[Nbr PDI Familles Accueil]])</f>
        <v>0</v>
      </c>
    </row>
    <row r="179" spans="1:10" x14ac:dyDescent="0.3">
      <c r="A179" s="21">
        <v>173</v>
      </c>
      <c r="B179" s="22" t="s">
        <v>605</v>
      </c>
      <c r="C179" s="22" t="s">
        <v>604</v>
      </c>
      <c r="D179" s="22" t="s">
        <v>672</v>
      </c>
      <c r="E179" s="22" t="s">
        <v>673</v>
      </c>
      <c r="F179" s="22" t="s">
        <v>653</v>
      </c>
      <c r="G179" s="22" t="s">
        <v>383</v>
      </c>
      <c r="H179" s="22">
        <f>SUMIF(Table1[Admin3_Pcode],Table5[[#This Row],[Admin3_Pcode]],Table1[30.04.2025 Individus])</f>
        <v>0</v>
      </c>
      <c r="I179" s="22">
        <f>SUMIF(Table4[Admin3_Pcode],Table5[[#This Row],[Admin3_Pcode]],Table4[30.04.2025 Individus])</f>
        <v>0</v>
      </c>
      <c r="J179" s="23">
        <f>SUM(Table5[[#This Row],[Nbr PDI Sites
LR*]:[Nbr PDI Familles Accueil]])</f>
        <v>0</v>
      </c>
    </row>
    <row r="180" spans="1:10" x14ac:dyDescent="0.3">
      <c r="A180" s="21">
        <v>174</v>
      </c>
      <c r="B180" s="22" t="s">
        <v>401</v>
      </c>
      <c r="C180" s="22" t="s">
        <v>249</v>
      </c>
      <c r="D180" s="22" t="s">
        <v>433</v>
      </c>
      <c r="E180" s="22" t="s">
        <v>284</v>
      </c>
      <c r="F180" s="22" t="s">
        <v>515</v>
      </c>
      <c r="G180" s="22" t="s">
        <v>358</v>
      </c>
      <c r="H180" s="22">
        <f>SUMIF(Table1[Admin3_Pcode],Table5[[#This Row],[Admin3_Pcode]],Table1[30.04.2025 Individus])</f>
        <v>0</v>
      </c>
      <c r="I180" s="22">
        <f>SUMIF(Table4[Admin3_Pcode],Table5[[#This Row],[Admin3_Pcode]],Table4[30.04.2025 Individus])</f>
        <v>1615</v>
      </c>
      <c r="J180" s="23">
        <f>SUM(Table5[[#This Row],[Nbr PDI Sites
LR*]:[Nbr PDI Familles Accueil]])</f>
        <v>1615</v>
      </c>
    </row>
    <row r="181" spans="1:10" x14ac:dyDescent="0.3">
      <c r="A181" s="21">
        <v>175</v>
      </c>
      <c r="B181" s="22" t="s">
        <v>104</v>
      </c>
      <c r="C181" s="22" t="s">
        <v>103</v>
      </c>
      <c r="D181" s="22" t="s">
        <v>130</v>
      </c>
      <c r="E181" s="22" t="s">
        <v>129</v>
      </c>
      <c r="F181" s="22" t="s">
        <v>527</v>
      </c>
      <c r="G181" s="22" t="s">
        <v>364</v>
      </c>
      <c r="H181" s="22">
        <f>SUMIF(Table1[Admin3_Pcode],Table5[[#This Row],[Admin3_Pcode]],Table1[30.04.2025 Individus])</f>
        <v>0</v>
      </c>
      <c r="I181" s="22">
        <f>SUMIF(Table4[Admin3_Pcode],Table5[[#This Row],[Admin3_Pcode]],Table4[30.04.2025 Individus])</f>
        <v>10</v>
      </c>
      <c r="J181" s="23">
        <f>SUM(Table5[[#This Row],[Nbr PDI Sites
LR*]:[Nbr PDI Familles Accueil]])</f>
        <v>10</v>
      </c>
    </row>
    <row r="182" spans="1:10" x14ac:dyDescent="0.3">
      <c r="A182" s="21">
        <v>176</v>
      </c>
      <c r="B182" s="22" t="s">
        <v>402</v>
      </c>
      <c r="C182" s="22" t="s">
        <v>250</v>
      </c>
      <c r="D182" s="22" t="s">
        <v>446</v>
      </c>
      <c r="E182" s="22" t="s">
        <v>299</v>
      </c>
      <c r="F182" s="22" t="s">
        <v>629</v>
      </c>
      <c r="G182" s="22" t="s">
        <v>634</v>
      </c>
      <c r="H182" s="22">
        <f>SUMIF(Table1[Admin3_Pcode],Table5[[#This Row],[Admin3_Pcode]],Table1[30.04.2025 Individus])</f>
        <v>0</v>
      </c>
      <c r="I182" s="22">
        <f>SUMIF(Table4[Admin3_Pcode],Table5[[#This Row],[Admin3_Pcode]],Table4[30.04.2025 Individus])</f>
        <v>1393</v>
      </c>
      <c r="J182" s="23">
        <f>SUM(Table5[[#This Row],[Nbr PDI Sites
LR*]:[Nbr PDI Familles Accueil]])</f>
        <v>1393</v>
      </c>
    </row>
    <row r="183" spans="1:10" x14ac:dyDescent="0.3">
      <c r="A183" s="21">
        <v>177</v>
      </c>
      <c r="B183" s="22" t="s">
        <v>401</v>
      </c>
      <c r="C183" s="22" t="s">
        <v>249</v>
      </c>
      <c r="D183" s="22" t="s">
        <v>435</v>
      </c>
      <c r="E183" s="22" t="s">
        <v>286</v>
      </c>
      <c r="F183" s="22" t="s">
        <v>512</v>
      </c>
      <c r="G183" s="22" t="s">
        <v>355</v>
      </c>
      <c r="H183" s="22">
        <f>SUMIF(Table1[Admin3_Pcode],Table5[[#This Row],[Admin3_Pcode]],Table1[30.04.2025 Individus])</f>
        <v>0</v>
      </c>
      <c r="I183" s="22">
        <f>SUMIF(Table4[Admin3_Pcode],Table5[[#This Row],[Admin3_Pcode]],Table4[30.04.2025 Individus])</f>
        <v>561</v>
      </c>
      <c r="J183" s="23">
        <f>SUM(Table5[[#This Row],[Nbr PDI Sites
LR*]:[Nbr PDI Familles Accueil]])</f>
        <v>561</v>
      </c>
    </row>
    <row r="184" spans="1:10" x14ac:dyDescent="0.3">
      <c r="A184" s="21">
        <v>178</v>
      </c>
      <c r="B184" s="22" t="s">
        <v>59</v>
      </c>
      <c r="C184" s="22" t="s">
        <v>58</v>
      </c>
      <c r="D184" s="22" t="s">
        <v>428</v>
      </c>
      <c r="E184" s="22" t="s">
        <v>279</v>
      </c>
      <c r="F184" s="22" t="s">
        <v>498</v>
      </c>
      <c r="G184" s="22" t="s">
        <v>345</v>
      </c>
      <c r="H184" s="22">
        <f>SUMIF(Table1[Admin3_Pcode],Table5[[#This Row],[Admin3_Pcode]],Table1[30.04.2025 Individus])</f>
        <v>0</v>
      </c>
      <c r="I184" s="22">
        <f>SUMIF(Table4[Admin3_Pcode],Table5[[#This Row],[Admin3_Pcode]],Table4[30.04.2025 Individus])</f>
        <v>88</v>
      </c>
      <c r="J184" s="23">
        <f>SUM(Table5[[#This Row],[Nbr PDI Sites
LR*]:[Nbr PDI Familles Accueil]])</f>
        <v>88</v>
      </c>
    </row>
    <row r="185" spans="1:10" x14ac:dyDescent="0.3">
      <c r="A185" s="21">
        <v>179</v>
      </c>
      <c r="B185" s="22" t="s">
        <v>38</v>
      </c>
      <c r="C185" s="22" t="s">
        <v>37</v>
      </c>
      <c r="D185" s="22" t="s">
        <v>40</v>
      </c>
      <c r="E185" s="22" t="s">
        <v>39</v>
      </c>
      <c r="F185" s="22" t="s">
        <v>41</v>
      </c>
      <c r="G185" s="22" t="s">
        <v>39</v>
      </c>
      <c r="H185" s="22">
        <f>SUMIF(Table1[Admin3_Pcode],Table5[[#This Row],[Admin3_Pcode]],Table1[30.04.2025 Individus])</f>
        <v>2596</v>
      </c>
      <c r="I185" s="22">
        <f>SUMIF(Table4[Admin3_Pcode],Table5[[#This Row],[Admin3_Pcode]],Table4[30.04.2025 Individus])</f>
        <v>1451</v>
      </c>
      <c r="J185" s="23">
        <f>SUM(Table5[[#This Row],[Nbr PDI Sites
LR*]:[Nbr PDI Familles Accueil]])</f>
        <v>4047</v>
      </c>
    </row>
    <row r="186" spans="1:10" x14ac:dyDescent="0.3">
      <c r="A186" s="27">
        <v>180</v>
      </c>
      <c r="B186" s="28" t="s">
        <v>401</v>
      </c>
      <c r="C186" s="28" t="s">
        <v>249</v>
      </c>
      <c r="D186" s="28" t="s">
        <v>433</v>
      </c>
      <c r="E186" s="28" t="s">
        <v>284</v>
      </c>
      <c r="F186" s="28" t="s">
        <v>702</v>
      </c>
      <c r="G186" s="28" t="s">
        <v>717</v>
      </c>
      <c r="H186" s="28">
        <f>SUMIF(Table1[Admin3_Pcode],Table5[[#This Row],[Admin3_Pcode]],Table1[30.04.2025 Individus])</f>
        <v>0</v>
      </c>
      <c r="I186" s="28">
        <f>SUMIF(Table4[Admin3_Pcode],Table5[[#This Row],[Admin3_Pcode]],Table4[30.04.2025 Individus])</f>
        <v>34</v>
      </c>
      <c r="J186" s="29">
        <f>SUM(Table5[[#This Row],[Nbr PDI Sites
LR*]:[Nbr PDI Familles Accueil]])</f>
        <v>34</v>
      </c>
    </row>
    <row r="188" spans="1:10" x14ac:dyDescent="0.3">
      <c r="A188" s="2"/>
      <c r="B188" s="15" t="s">
        <v>724</v>
      </c>
      <c r="C188" s="2"/>
      <c r="D188" s="2"/>
      <c r="E188" s="2"/>
      <c r="F188" s="2"/>
      <c r="G188" s="2"/>
      <c r="H188" s="51">
        <f>SUBTOTAL(9,Table5[Nbr PDI Sites
LR*])</f>
        <v>75812</v>
      </c>
      <c r="I188" s="51">
        <f>SUBTOTAL(9,Table5[Nbr PDI Familles Accueil])</f>
        <v>368407</v>
      </c>
      <c r="J188" s="16">
        <f>SUBTOTAL(9,Table5[Nbr Total PDI])</f>
        <v>444219</v>
      </c>
    </row>
    <row r="189" spans="1:10" x14ac:dyDescent="0.3">
      <c r="H189" s="52">
        <f>H188/J188</f>
        <v>0.17066356909542366</v>
      </c>
      <c r="I189" s="52">
        <f>I188/J188</f>
        <v>0.82933643090457632</v>
      </c>
    </row>
    <row r="190" spans="1:10" x14ac:dyDescent="0.3">
      <c r="C190" t="s">
        <v>806</v>
      </c>
      <c r="E190" t="s">
        <v>805</v>
      </c>
    </row>
    <row r="191" spans="1:10" ht="14.5" thickBot="1" x14ac:dyDescent="0.35"/>
    <row r="192" spans="1:10" x14ac:dyDescent="0.3">
      <c r="C192" s="108" t="s">
        <v>729</v>
      </c>
      <c r="D192" s="109"/>
      <c r="E192" s="110"/>
      <c r="F192" s="108" t="s">
        <v>730</v>
      </c>
      <c r="G192" s="109"/>
      <c r="H192" s="110"/>
      <c r="I192" s="108" t="s">
        <v>731</v>
      </c>
      <c r="J192" s="110"/>
    </row>
    <row r="193" spans="3:10" ht="14.5" thickBot="1" x14ac:dyDescent="0.35">
      <c r="C193" s="111"/>
      <c r="D193" s="112"/>
      <c r="E193" s="113"/>
      <c r="F193" s="111"/>
      <c r="G193" s="112"/>
      <c r="H193" s="113"/>
      <c r="I193" s="111"/>
      <c r="J193" s="113"/>
    </row>
    <row r="194" spans="3:10" x14ac:dyDescent="0.3">
      <c r="C194" s="114">
        <f>SUBTOTAL(9,Table5[Nbr PDI Sites
LR*])</f>
        <v>75812</v>
      </c>
      <c r="D194" s="115"/>
      <c r="E194" s="116"/>
      <c r="F194" s="114">
        <f>SUBTOTAL(9,Table5[Nbr PDI Familles Accueil])</f>
        <v>368407</v>
      </c>
      <c r="G194" s="115"/>
      <c r="H194" s="116"/>
      <c r="I194" s="120">
        <f>SUM(C194:H195)</f>
        <v>444219</v>
      </c>
      <c r="J194" s="121"/>
    </row>
    <row r="195" spans="3:10" ht="14.5" thickBot="1" x14ac:dyDescent="0.35">
      <c r="C195" s="117"/>
      <c r="D195" s="118"/>
      <c r="E195" s="119"/>
      <c r="F195" s="117"/>
      <c r="G195" s="118"/>
      <c r="H195" s="119"/>
      <c r="I195" s="122"/>
      <c r="J195" s="123"/>
    </row>
    <row r="198" spans="3:10" x14ac:dyDescent="0.3">
      <c r="I198" s="10">
        <f>I194-442723</f>
        <v>1496</v>
      </c>
    </row>
    <row r="199" spans="3:10" x14ac:dyDescent="0.3">
      <c r="I199" s="102">
        <f>I198/469342</f>
        <v>3.1874411410016575E-3</v>
      </c>
    </row>
  </sheetData>
  <mergeCells count="12">
    <mergeCell ref="M2:O3"/>
    <mergeCell ref="P2:R3"/>
    <mergeCell ref="S2:T3"/>
    <mergeCell ref="M4:O5"/>
    <mergeCell ref="P4:R5"/>
    <mergeCell ref="S4:T5"/>
    <mergeCell ref="C192:E193"/>
    <mergeCell ref="F192:H193"/>
    <mergeCell ref="I192:J193"/>
    <mergeCell ref="C194:E195"/>
    <mergeCell ref="F194:H195"/>
    <mergeCell ref="I194:J195"/>
  </mergeCells>
  <pageMargins left="0.7" right="0.7" top="0.75" bottom="0.75" header="0.3" footer="0.3"/>
  <pageSetup paperSize="9" orientation="portrait" r:id="rId1"/>
  <headerFooter>
    <oddHeader>&amp;C&amp;G</oddHead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6C060-36DD-4828-B5A8-515CDAE588BC}">
  <dimension ref="A1:AM67"/>
  <sheetViews>
    <sheetView workbookViewId="0">
      <selection activeCell="C18" sqref="A5:C18"/>
    </sheetView>
  </sheetViews>
  <sheetFormatPr defaultRowHeight="14" x14ac:dyDescent="0.3"/>
  <cols>
    <col min="1" max="1" width="23.08203125" bestFit="1" customWidth="1"/>
    <col min="2" max="2" width="11.33203125" bestFit="1" customWidth="1"/>
    <col min="3" max="3" width="5.33203125" bestFit="1" customWidth="1"/>
    <col min="16" max="16" width="14.25" bestFit="1" customWidth="1"/>
    <col min="17" max="17" width="12" bestFit="1" customWidth="1"/>
    <col min="18" max="18" width="9.75" bestFit="1" customWidth="1"/>
    <col min="19" max="20" width="12" bestFit="1" customWidth="1"/>
    <col min="23" max="23" width="14.08203125" bestFit="1" customWidth="1"/>
    <col min="33" max="33" width="17.25" bestFit="1" customWidth="1"/>
    <col min="34" max="34" width="12.58203125" bestFit="1" customWidth="1"/>
    <col min="39" max="39" width="17.25" bestFit="1" customWidth="1"/>
  </cols>
  <sheetData>
    <row r="1" spans="1:39" x14ac:dyDescent="0.3">
      <c r="A1" s="53" t="s">
        <v>241</v>
      </c>
      <c r="B1" t="s">
        <v>749</v>
      </c>
    </row>
    <row r="3" spans="1:39" x14ac:dyDescent="0.3">
      <c r="A3" s="53" t="s">
        <v>743</v>
      </c>
    </row>
    <row r="4" spans="1:39" x14ac:dyDescent="0.3">
      <c r="A4" s="53" t="s">
        <v>718</v>
      </c>
      <c r="B4" s="53" t="s">
        <v>719</v>
      </c>
      <c r="C4" t="s">
        <v>748</v>
      </c>
      <c r="H4" t="s">
        <v>718</v>
      </c>
      <c r="I4" t="s">
        <v>719</v>
      </c>
      <c r="J4" t="s">
        <v>745</v>
      </c>
      <c r="K4" t="s">
        <v>744</v>
      </c>
      <c r="L4" t="s">
        <v>748</v>
      </c>
      <c r="Q4" s="53" t="s">
        <v>751</v>
      </c>
    </row>
    <row r="5" spans="1:39" x14ac:dyDescent="0.3">
      <c r="A5" t="s">
        <v>30</v>
      </c>
      <c r="B5" t="s">
        <v>32</v>
      </c>
      <c r="C5" s="54">
        <v>-195</v>
      </c>
      <c r="H5" t="s">
        <v>249</v>
      </c>
      <c r="I5" t="s">
        <v>284</v>
      </c>
      <c r="K5">
        <v>5883</v>
      </c>
      <c r="L5">
        <f t="shared" ref="L5:L40" si="0">SUM(J5:K5)</f>
        <v>5883</v>
      </c>
      <c r="P5" s="53" t="s">
        <v>718</v>
      </c>
      <c r="Q5" t="s">
        <v>746</v>
      </c>
      <c r="R5" t="s">
        <v>747</v>
      </c>
      <c r="S5" t="s">
        <v>750</v>
      </c>
      <c r="W5" t="s">
        <v>718</v>
      </c>
      <c r="X5" t="s">
        <v>746</v>
      </c>
      <c r="Y5" t="s">
        <v>747</v>
      </c>
      <c r="Z5" t="s">
        <v>750</v>
      </c>
    </row>
    <row r="6" spans="1:39" x14ac:dyDescent="0.3">
      <c r="A6" t="s">
        <v>597</v>
      </c>
      <c r="B6" t="s">
        <v>136</v>
      </c>
      <c r="C6" s="54">
        <v>-44</v>
      </c>
      <c r="H6" t="s">
        <v>184</v>
      </c>
      <c r="I6" t="s">
        <v>253</v>
      </c>
      <c r="K6">
        <v>3771</v>
      </c>
      <c r="L6">
        <f t="shared" si="0"/>
        <v>3771</v>
      </c>
      <c r="P6" t="s">
        <v>13</v>
      </c>
      <c r="Q6" s="54">
        <v>198</v>
      </c>
      <c r="R6" s="54">
        <v>1391</v>
      </c>
      <c r="S6" s="54">
        <v>1589</v>
      </c>
      <c r="W6" t="s">
        <v>249</v>
      </c>
      <c r="Y6">
        <v>7003</v>
      </c>
      <c r="Z6">
        <v>7003</v>
      </c>
      <c r="AG6" t="s">
        <v>718</v>
      </c>
      <c r="AH6" t="s">
        <v>719</v>
      </c>
      <c r="AI6" t="s">
        <v>745</v>
      </c>
      <c r="AJ6" t="s">
        <v>744</v>
      </c>
      <c r="AK6" t="s">
        <v>748</v>
      </c>
      <c r="AM6" s="53" t="s">
        <v>739</v>
      </c>
    </row>
    <row r="7" spans="1:39" x14ac:dyDescent="0.3">
      <c r="A7" t="s">
        <v>597</v>
      </c>
      <c r="B7" t="s">
        <v>156</v>
      </c>
      <c r="C7" s="54">
        <v>-174</v>
      </c>
      <c r="H7" t="s">
        <v>597</v>
      </c>
      <c r="I7" t="s">
        <v>136</v>
      </c>
      <c r="K7">
        <v>2329</v>
      </c>
      <c r="L7">
        <f t="shared" si="0"/>
        <v>2329</v>
      </c>
      <c r="P7" t="s">
        <v>18</v>
      </c>
      <c r="Q7" s="54">
        <v>193</v>
      </c>
      <c r="R7" s="54">
        <v>1234</v>
      </c>
      <c r="S7" s="54">
        <v>1427</v>
      </c>
      <c r="W7" t="s">
        <v>184</v>
      </c>
      <c r="Y7">
        <v>4260</v>
      </c>
      <c r="Z7">
        <v>4260</v>
      </c>
      <c r="AG7" t="s">
        <v>37</v>
      </c>
      <c r="AH7" t="s">
        <v>39</v>
      </c>
      <c r="AJ7">
        <v>5438</v>
      </c>
      <c r="AK7">
        <f t="shared" ref="AK7:AK38" si="1">SUM(AI7:AJ7)</f>
        <v>5438</v>
      </c>
      <c r="AM7" s="50" t="s">
        <v>1</v>
      </c>
    </row>
    <row r="8" spans="1:39" x14ac:dyDescent="0.3">
      <c r="A8" t="s">
        <v>597</v>
      </c>
      <c r="B8" t="s">
        <v>140</v>
      </c>
      <c r="C8" s="54">
        <v>-40</v>
      </c>
      <c r="H8" t="s">
        <v>597</v>
      </c>
      <c r="I8" t="s">
        <v>140</v>
      </c>
      <c r="K8">
        <v>1314</v>
      </c>
      <c r="L8">
        <f t="shared" si="0"/>
        <v>1314</v>
      </c>
      <c r="P8" t="s">
        <v>30</v>
      </c>
      <c r="Q8" s="54"/>
      <c r="R8" s="54">
        <v>18</v>
      </c>
      <c r="S8" s="54">
        <v>18</v>
      </c>
      <c r="W8" t="s">
        <v>597</v>
      </c>
      <c r="X8">
        <v>139</v>
      </c>
      <c r="Y8">
        <v>3643</v>
      </c>
      <c r="Z8">
        <v>3782</v>
      </c>
      <c r="AG8" t="s">
        <v>249</v>
      </c>
      <c r="AH8" t="s">
        <v>284</v>
      </c>
      <c r="AJ8">
        <v>5107</v>
      </c>
      <c r="AK8">
        <f t="shared" si="1"/>
        <v>5107</v>
      </c>
      <c r="AM8" s="50" t="s">
        <v>13</v>
      </c>
    </row>
    <row r="9" spans="1:39" x14ac:dyDescent="0.3">
      <c r="A9" t="s">
        <v>740</v>
      </c>
      <c r="C9" s="54">
        <v>-453</v>
      </c>
      <c r="H9" t="s">
        <v>13</v>
      </c>
      <c r="I9" t="s">
        <v>666</v>
      </c>
      <c r="K9">
        <v>859</v>
      </c>
      <c r="L9">
        <f t="shared" si="0"/>
        <v>859</v>
      </c>
      <c r="P9" t="s">
        <v>37</v>
      </c>
      <c r="Q9" s="54">
        <v>50</v>
      </c>
      <c r="R9" s="54"/>
      <c r="S9" s="54">
        <v>50</v>
      </c>
      <c r="W9" t="s">
        <v>13</v>
      </c>
      <c r="X9">
        <v>198</v>
      </c>
      <c r="Y9">
        <v>1391</v>
      </c>
      <c r="Z9">
        <v>1589</v>
      </c>
      <c r="AG9" t="s">
        <v>597</v>
      </c>
      <c r="AH9" t="s">
        <v>136</v>
      </c>
      <c r="AJ9">
        <v>4232</v>
      </c>
      <c r="AK9">
        <f t="shared" si="1"/>
        <v>4232</v>
      </c>
      <c r="AM9" s="50" t="s">
        <v>18</v>
      </c>
    </row>
    <row r="10" spans="1:39" x14ac:dyDescent="0.3">
      <c r="H10" t="s">
        <v>134</v>
      </c>
      <c r="I10" t="s">
        <v>180</v>
      </c>
      <c r="K10">
        <v>857</v>
      </c>
      <c r="L10">
        <f t="shared" si="0"/>
        <v>857</v>
      </c>
      <c r="P10" t="s">
        <v>604</v>
      </c>
      <c r="Q10" s="54"/>
      <c r="R10" s="54">
        <v>453</v>
      </c>
      <c r="S10" s="54">
        <v>453</v>
      </c>
      <c r="W10" t="s">
        <v>18</v>
      </c>
      <c r="X10">
        <v>193</v>
      </c>
      <c r="Y10">
        <v>1234</v>
      </c>
      <c r="Z10">
        <v>1427</v>
      </c>
      <c r="AG10" t="s">
        <v>1</v>
      </c>
      <c r="AH10" t="s">
        <v>3</v>
      </c>
      <c r="AJ10">
        <v>3929</v>
      </c>
      <c r="AK10">
        <f t="shared" si="1"/>
        <v>3929</v>
      </c>
      <c r="AM10" s="50" t="s">
        <v>30</v>
      </c>
    </row>
    <row r="11" spans="1:39" x14ac:dyDescent="0.3">
      <c r="H11" t="s">
        <v>18</v>
      </c>
      <c r="I11" t="s">
        <v>258</v>
      </c>
      <c r="K11">
        <v>758</v>
      </c>
      <c r="L11">
        <f t="shared" si="0"/>
        <v>758</v>
      </c>
      <c r="P11" t="s">
        <v>247</v>
      </c>
      <c r="Q11" s="54"/>
      <c r="R11" s="54">
        <v>47</v>
      </c>
      <c r="S11" s="54">
        <v>47</v>
      </c>
      <c r="W11" t="s">
        <v>134</v>
      </c>
      <c r="Y11">
        <v>857</v>
      </c>
      <c r="Z11">
        <v>857</v>
      </c>
      <c r="AG11" t="s">
        <v>58</v>
      </c>
      <c r="AH11" t="s">
        <v>72</v>
      </c>
      <c r="AJ11">
        <v>3672</v>
      </c>
      <c r="AK11">
        <f t="shared" si="1"/>
        <v>3672</v>
      </c>
      <c r="AM11" s="50" t="s">
        <v>37</v>
      </c>
    </row>
    <row r="12" spans="1:39" x14ac:dyDescent="0.3">
      <c r="H12" t="s">
        <v>249</v>
      </c>
      <c r="I12" t="s">
        <v>285</v>
      </c>
      <c r="K12">
        <v>614</v>
      </c>
      <c r="L12">
        <f t="shared" si="0"/>
        <v>614</v>
      </c>
      <c r="P12" t="s">
        <v>58</v>
      </c>
      <c r="Q12" s="54">
        <v>143</v>
      </c>
      <c r="R12" s="54">
        <v>48</v>
      </c>
      <c r="S12" s="54">
        <v>191</v>
      </c>
      <c r="W12" t="s">
        <v>75</v>
      </c>
      <c r="X12">
        <v>168</v>
      </c>
      <c r="Y12">
        <v>321</v>
      </c>
      <c r="Z12">
        <v>489</v>
      </c>
      <c r="AG12" t="s">
        <v>18</v>
      </c>
      <c r="AH12" t="s">
        <v>257</v>
      </c>
      <c r="AJ12">
        <v>3008</v>
      </c>
      <c r="AK12">
        <f t="shared" si="1"/>
        <v>3008</v>
      </c>
      <c r="AM12" s="50" t="s">
        <v>246</v>
      </c>
    </row>
    <row r="13" spans="1:39" x14ac:dyDescent="0.3">
      <c r="H13" t="s">
        <v>18</v>
      </c>
      <c r="I13" t="s">
        <v>259</v>
      </c>
      <c r="K13">
        <v>476</v>
      </c>
      <c r="L13">
        <f t="shared" si="0"/>
        <v>476</v>
      </c>
      <c r="P13" t="s">
        <v>75</v>
      </c>
      <c r="Q13" s="54">
        <v>168</v>
      </c>
      <c r="R13" s="54">
        <v>321</v>
      </c>
      <c r="S13" s="54">
        <v>489</v>
      </c>
      <c r="W13" t="s">
        <v>604</v>
      </c>
      <c r="Y13">
        <v>453</v>
      </c>
      <c r="Z13">
        <v>453</v>
      </c>
      <c r="AG13" t="s">
        <v>597</v>
      </c>
      <c r="AH13" t="s">
        <v>141</v>
      </c>
      <c r="AJ13">
        <v>2205</v>
      </c>
      <c r="AK13">
        <f t="shared" si="1"/>
        <v>2205</v>
      </c>
      <c r="AM13" s="50" t="s">
        <v>604</v>
      </c>
    </row>
    <row r="14" spans="1:39" x14ac:dyDescent="0.3">
      <c r="H14" t="s">
        <v>604</v>
      </c>
      <c r="I14" t="s">
        <v>297</v>
      </c>
      <c r="K14">
        <v>432</v>
      </c>
      <c r="L14">
        <f t="shared" si="0"/>
        <v>432</v>
      </c>
      <c r="P14" t="s">
        <v>249</v>
      </c>
      <c r="Q14" s="54"/>
      <c r="R14" s="54">
        <v>7003</v>
      </c>
      <c r="S14" s="54">
        <v>7003</v>
      </c>
      <c r="W14" t="s">
        <v>58</v>
      </c>
      <c r="X14">
        <v>143</v>
      </c>
      <c r="Y14">
        <v>48</v>
      </c>
      <c r="Z14">
        <v>191</v>
      </c>
      <c r="AG14" t="s">
        <v>134</v>
      </c>
      <c r="AH14" t="s">
        <v>251</v>
      </c>
      <c r="AJ14">
        <v>2184</v>
      </c>
      <c r="AK14">
        <f t="shared" si="1"/>
        <v>2184</v>
      </c>
      <c r="AM14" s="50" t="s">
        <v>606</v>
      </c>
    </row>
    <row r="15" spans="1:39" x14ac:dyDescent="0.3">
      <c r="H15" t="s">
        <v>249</v>
      </c>
      <c r="I15" t="s">
        <v>286</v>
      </c>
      <c r="K15">
        <v>410</v>
      </c>
      <c r="L15">
        <f t="shared" si="0"/>
        <v>410</v>
      </c>
      <c r="P15" t="s">
        <v>96</v>
      </c>
      <c r="Q15" s="54"/>
      <c r="R15" s="54">
        <v>186</v>
      </c>
      <c r="S15" s="54">
        <v>186</v>
      </c>
      <c r="W15" t="s">
        <v>96</v>
      </c>
      <c r="Y15">
        <v>186</v>
      </c>
      <c r="Z15">
        <v>186</v>
      </c>
      <c r="AG15" t="s">
        <v>134</v>
      </c>
      <c r="AH15" t="s">
        <v>294</v>
      </c>
      <c r="AJ15">
        <v>2076</v>
      </c>
      <c r="AK15">
        <f t="shared" si="1"/>
        <v>2076</v>
      </c>
      <c r="AM15" s="50" t="s">
        <v>58</v>
      </c>
    </row>
    <row r="16" spans="1:39" x14ac:dyDescent="0.3">
      <c r="H16" t="s">
        <v>184</v>
      </c>
      <c r="I16" t="s">
        <v>186</v>
      </c>
      <c r="K16">
        <v>382</v>
      </c>
      <c r="L16">
        <f t="shared" si="0"/>
        <v>382</v>
      </c>
      <c r="P16" t="s">
        <v>103</v>
      </c>
      <c r="Q16" s="54">
        <v>79</v>
      </c>
      <c r="R16" s="54"/>
      <c r="S16" s="54">
        <v>79</v>
      </c>
      <c r="W16" t="s">
        <v>103</v>
      </c>
      <c r="X16">
        <v>79</v>
      </c>
      <c r="Z16">
        <v>79</v>
      </c>
      <c r="AG16" t="s">
        <v>184</v>
      </c>
      <c r="AH16" t="s">
        <v>186</v>
      </c>
      <c r="AI16">
        <v>1969</v>
      </c>
      <c r="AK16">
        <f t="shared" si="1"/>
        <v>1969</v>
      </c>
      <c r="AM16" s="50" t="s">
        <v>75</v>
      </c>
    </row>
    <row r="17" spans="8:39" x14ac:dyDescent="0.3">
      <c r="H17" t="s">
        <v>75</v>
      </c>
      <c r="I17" t="s">
        <v>77</v>
      </c>
      <c r="K17">
        <v>321</v>
      </c>
      <c r="L17">
        <f t="shared" si="0"/>
        <v>321</v>
      </c>
      <c r="P17" t="s">
        <v>134</v>
      </c>
      <c r="Q17" s="54"/>
      <c r="R17" s="54">
        <v>857</v>
      </c>
      <c r="S17" s="54">
        <v>857</v>
      </c>
      <c r="W17" t="s">
        <v>37</v>
      </c>
      <c r="X17">
        <v>50</v>
      </c>
      <c r="Z17">
        <v>50</v>
      </c>
      <c r="AG17" t="s">
        <v>37</v>
      </c>
      <c r="AH17" t="s">
        <v>51</v>
      </c>
      <c r="AJ17">
        <v>1363</v>
      </c>
      <c r="AK17">
        <f t="shared" si="1"/>
        <v>1363</v>
      </c>
      <c r="AM17" s="50" t="s">
        <v>249</v>
      </c>
    </row>
    <row r="18" spans="8:39" x14ac:dyDescent="0.3">
      <c r="H18" t="s">
        <v>13</v>
      </c>
      <c r="I18" t="s">
        <v>608</v>
      </c>
      <c r="K18">
        <v>316</v>
      </c>
      <c r="L18">
        <f t="shared" si="0"/>
        <v>316</v>
      </c>
      <c r="P18" t="s">
        <v>184</v>
      </c>
      <c r="Q18" s="54"/>
      <c r="R18" s="54">
        <v>4260</v>
      </c>
      <c r="S18" s="54">
        <v>4260</v>
      </c>
      <c r="W18" t="s">
        <v>247</v>
      </c>
      <c r="Y18">
        <v>47</v>
      </c>
      <c r="Z18">
        <v>47</v>
      </c>
      <c r="AG18" t="s">
        <v>246</v>
      </c>
      <c r="AH18" t="s">
        <v>263</v>
      </c>
      <c r="AJ18">
        <v>1159</v>
      </c>
      <c r="AK18">
        <f t="shared" si="1"/>
        <v>1159</v>
      </c>
      <c r="AM18" s="50" t="s">
        <v>103</v>
      </c>
    </row>
    <row r="19" spans="8:39" x14ac:dyDescent="0.3">
      <c r="H19" t="s">
        <v>13</v>
      </c>
      <c r="I19" t="s">
        <v>599</v>
      </c>
      <c r="K19">
        <v>216</v>
      </c>
      <c r="L19">
        <f t="shared" si="0"/>
        <v>216</v>
      </c>
      <c r="P19" t="s">
        <v>597</v>
      </c>
      <c r="Q19" s="54">
        <v>139</v>
      </c>
      <c r="R19" s="54">
        <v>3643</v>
      </c>
      <c r="S19" s="54">
        <v>3782</v>
      </c>
      <c r="W19" t="s">
        <v>30</v>
      </c>
      <c r="Y19">
        <v>18</v>
      </c>
      <c r="Z19">
        <v>18</v>
      </c>
      <c r="AG19" t="s">
        <v>134</v>
      </c>
      <c r="AH19" t="s">
        <v>293</v>
      </c>
      <c r="AJ19">
        <v>1121</v>
      </c>
      <c r="AK19">
        <f t="shared" si="1"/>
        <v>1121</v>
      </c>
      <c r="AM19" s="50" t="s">
        <v>134</v>
      </c>
    </row>
    <row r="20" spans="8:39" x14ac:dyDescent="0.3">
      <c r="H20" t="s">
        <v>13</v>
      </c>
      <c r="I20" t="s">
        <v>599</v>
      </c>
      <c r="J20">
        <v>198</v>
      </c>
      <c r="L20">
        <f t="shared" si="0"/>
        <v>198</v>
      </c>
      <c r="P20" t="s">
        <v>740</v>
      </c>
      <c r="Q20" s="54">
        <v>970</v>
      </c>
      <c r="R20" s="54">
        <v>19461</v>
      </c>
      <c r="S20" s="54">
        <v>20431</v>
      </c>
      <c r="W20" t="s">
        <v>740</v>
      </c>
      <c r="X20">
        <v>970</v>
      </c>
      <c r="Y20">
        <v>19461</v>
      </c>
      <c r="Z20">
        <v>20431</v>
      </c>
      <c r="AG20" t="s">
        <v>58</v>
      </c>
      <c r="AH20" t="s">
        <v>60</v>
      </c>
      <c r="AJ20">
        <v>1083</v>
      </c>
      <c r="AK20">
        <f t="shared" si="1"/>
        <v>1083</v>
      </c>
      <c r="AM20" s="50" t="s">
        <v>184</v>
      </c>
    </row>
    <row r="21" spans="8:39" x14ac:dyDescent="0.3">
      <c r="H21" t="s">
        <v>18</v>
      </c>
      <c r="I21" t="s">
        <v>20</v>
      </c>
      <c r="J21">
        <v>193</v>
      </c>
      <c r="L21">
        <f t="shared" si="0"/>
        <v>193</v>
      </c>
      <c r="AG21" t="s">
        <v>18</v>
      </c>
      <c r="AH21" t="s">
        <v>256</v>
      </c>
      <c r="AJ21">
        <v>1030</v>
      </c>
      <c r="AK21">
        <f t="shared" si="1"/>
        <v>1030</v>
      </c>
      <c r="AM21" s="50" t="s">
        <v>597</v>
      </c>
    </row>
    <row r="22" spans="8:39" x14ac:dyDescent="0.3">
      <c r="H22" t="s">
        <v>75</v>
      </c>
      <c r="I22" t="s">
        <v>77</v>
      </c>
      <c r="J22">
        <v>168</v>
      </c>
      <c r="L22">
        <f t="shared" si="0"/>
        <v>168</v>
      </c>
      <c r="AG22" t="s">
        <v>37</v>
      </c>
      <c r="AH22" t="s">
        <v>39</v>
      </c>
      <c r="AI22">
        <v>990</v>
      </c>
      <c r="AK22">
        <f t="shared" si="1"/>
        <v>990</v>
      </c>
      <c r="AM22" s="50" t="s">
        <v>188</v>
      </c>
    </row>
    <row r="23" spans="8:39" x14ac:dyDescent="0.3">
      <c r="H23" t="s">
        <v>96</v>
      </c>
      <c r="I23" t="s">
        <v>291</v>
      </c>
      <c r="K23">
        <v>156</v>
      </c>
      <c r="L23">
        <f t="shared" si="0"/>
        <v>156</v>
      </c>
      <c r="AG23" t="s">
        <v>13</v>
      </c>
      <c r="AH23" t="s">
        <v>599</v>
      </c>
      <c r="AJ23">
        <v>976</v>
      </c>
      <c r="AK23">
        <f t="shared" si="1"/>
        <v>976</v>
      </c>
      <c r="AM23" s="50" t="s">
        <v>740</v>
      </c>
    </row>
    <row r="24" spans="8:39" x14ac:dyDescent="0.3">
      <c r="H24" t="s">
        <v>58</v>
      </c>
      <c r="I24" t="s">
        <v>72</v>
      </c>
      <c r="J24">
        <v>132</v>
      </c>
      <c r="L24">
        <f t="shared" si="0"/>
        <v>132</v>
      </c>
      <c r="AG24" t="s">
        <v>13</v>
      </c>
      <c r="AH24" t="s">
        <v>666</v>
      </c>
      <c r="AJ24">
        <v>895</v>
      </c>
      <c r="AK24">
        <f t="shared" si="1"/>
        <v>895</v>
      </c>
    </row>
    <row r="25" spans="8:39" x14ac:dyDescent="0.3">
      <c r="H25" t="s">
        <v>249</v>
      </c>
      <c r="I25" t="s">
        <v>283</v>
      </c>
      <c r="K25">
        <v>96</v>
      </c>
      <c r="L25">
        <f t="shared" si="0"/>
        <v>96</v>
      </c>
      <c r="AG25" t="s">
        <v>30</v>
      </c>
      <c r="AH25" t="s">
        <v>32</v>
      </c>
      <c r="AJ25">
        <v>878</v>
      </c>
      <c r="AK25">
        <f t="shared" si="1"/>
        <v>878</v>
      </c>
    </row>
    <row r="26" spans="8:39" x14ac:dyDescent="0.3">
      <c r="H26" t="s">
        <v>597</v>
      </c>
      <c r="I26" t="s">
        <v>140</v>
      </c>
      <c r="J26">
        <v>87</v>
      </c>
      <c r="L26">
        <f t="shared" si="0"/>
        <v>87</v>
      </c>
      <c r="AG26" t="s">
        <v>18</v>
      </c>
      <c r="AH26" t="s">
        <v>20</v>
      </c>
      <c r="AJ26">
        <v>779</v>
      </c>
      <c r="AK26">
        <f t="shared" si="1"/>
        <v>779</v>
      </c>
    </row>
    <row r="27" spans="8:39" x14ac:dyDescent="0.3">
      <c r="H27" t="s">
        <v>184</v>
      </c>
      <c r="I27" t="s">
        <v>295</v>
      </c>
      <c r="K27">
        <v>80</v>
      </c>
      <c r="L27">
        <f t="shared" si="0"/>
        <v>80</v>
      </c>
      <c r="AG27" t="s">
        <v>58</v>
      </c>
      <c r="AH27" t="s">
        <v>279</v>
      </c>
      <c r="AJ27">
        <v>734</v>
      </c>
      <c r="AK27">
        <f t="shared" si="1"/>
        <v>734</v>
      </c>
    </row>
    <row r="28" spans="8:39" x14ac:dyDescent="0.3">
      <c r="H28" t="s">
        <v>103</v>
      </c>
      <c r="I28" t="s">
        <v>129</v>
      </c>
      <c r="J28">
        <v>79</v>
      </c>
      <c r="L28">
        <f t="shared" si="0"/>
        <v>79</v>
      </c>
      <c r="AG28" t="s">
        <v>75</v>
      </c>
      <c r="AH28" t="s">
        <v>77</v>
      </c>
      <c r="AJ28">
        <v>734</v>
      </c>
      <c r="AK28">
        <f t="shared" si="1"/>
        <v>734</v>
      </c>
    </row>
    <row r="29" spans="8:39" x14ac:dyDescent="0.3">
      <c r="H29" t="s">
        <v>37</v>
      </c>
      <c r="I29" t="s">
        <v>54</v>
      </c>
      <c r="J29">
        <v>50</v>
      </c>
      <c r="L29">
        <f t="shared" si="0"/>
        <v>50</v>
      </c>
      <c r="AG29" t="s">
        <v>246</v>
      </c>
      <c r="AH29" t="s">
        <v>266</v>
      </c>
      <c r="AJ29">
        <v>730</v>
      </c>
      <c r="AK29">
        <f t="shared" si="1"/>
        <v>730</v>
      </c>
    </row>
    <row r="30" spans="8:39" x14ac:dyDescent="0.3">
      <c r="H30" t="s">
        <v>597</v>
      </c>
      <c r="I30" t="s">
        <v>156</v>
      </c>
      <c r="J30">
        <v>50</v>
      </c>
      <c r="L30">
        <f t="shared" si="0"/>
        <v>50</v>
      </c>
      <c r="AG30" t="s">
        <v>1</v>
      </c>
      <c r="AH30" t="s">
        <v>254</v>
      </c>
      <c r="AJ30">
        <v>698</v>
      </c>
      <c r="AK30">
        <f t="shared" si="1"/>
        <v>698</v>
      </c>
    </row>
    <row r="31" spans="8:39" x14ac:dyDescent="0.3">
      <c r="H31" t="s">
        <v>58</v>
      </c>
      <c r="I31" t="s">
        <v>279</v>
      </c>
      <c r="K31">
        <v>48</v>
      </c>
      <c r="L31">
        <f t="shared" si="0"/>
        <v>48</v>
      </c>
      <c r="AG31" t="s">
        <v>134</v>
      </c>
      <c r="AH31" t="s">
        <v>180</v>
      </c>
      <c r="AJ31">
        <v>677</v>
      </c>
      <c r="AK31">
        <f t="shared" si="1"/>
        <v>677</v>
      </c>
    </row>
    <row r="32" spans="8:39" x14ac:dyDescent="0.3">
      <c r="H32" t="s">
        <v>247</v>
      </c>
      <c r="I32" t="s">
        <v>267</v>
      </c>
      <c r="K32">
        <v>35</v>
      </c>
      <c r="L32">
        <f t="shared" si="0"/>
        <v>35</v>
      </c>
      <c r="AG32" t="s">
        <v>37</v>
      </c>
      <c r="AH32" t="s">
        <v>44</v>
      </c>
      <c r="AI32">
        <v>675</v>
      </c>
      <c r="AK32">
        <f t="shared" si="1"/>
        <v>675</v>
      </c>
    </row>
    <row r="33" spans="8:37" x14ac:dyDescent="0.3">
      <c r="H33" t="s">
        <v>96</v>
      </c>
      <c r="I33" t="s">
        <v>289</v>
      </c>
      <c r="K33">
        <v>30</v>
      </c>
      <c r="L33">
        <f t="shared" si="0"/>
        <v>30</v>
      </c>
      <c r="AG33" t="s">
        <v>58</v>
      </c>
      <c r="AH33" t="s">
        <v>280</v>
      </c>
      <c r="AJ33">
        <v>549</v>
      </c>
      <c r="AK33">
        <f t="shared" si="1"/>
        <v>549</v>
      </c>
    </row>
    <row r="34" spans="8:37" x14ac:dyDescent="0.3">
      <c r="H34" t="s">
        <v>184</v>
      </c>
      <c r="I34" t="s">
        <v>252</v>
      </c>
      <c r="K34">
        <v>27</v>
      </c>
      <c r="L34">
        <f t="shared" si="0"/>
        <v>27</v>
      </c>
      <c r="AG34" t="s">
        <v>75</v>
      </c>
      <c r="AH34" t="s">
        <v>89</v>
      </c>
      <c r="AJ34">
        <v>518</v>
      </c>
      <c r="AK34">
        <f t="shared" si="1"/>
        <v>518</v>
      </c>
    </row>
    <row r="35" spans="8:37" x14ac:dyDescent="0.3">
      <c r="H35" t="s">
        <v>604</v>
      </c>
      <c r="I35" t="s">
        <v>671</v>
      </c>
      <c r="K35">
        <v>21</v>
      </c>
      <c r="L35">
        <f t="shared" si="0"/>
        <v>21</v>
      </c>
      <c r="AG35" t="s">
        <v>597</v>
      </c>
      <c r="AH35" t="s">
        <v>140</v>
      </c>
      <c r="AJ35">
        <v>499</v>
      </c>
      <c r="AK35">
        <f t="shared" si="1"/>
        <v>499</v>
      </c>
    </row>
    <row r="36" spans="8:37" x14ac:dyDescent="0.3">
      <c r="H36" t="s">
        <v>30</v>
      </c>
      <c r="I36" t="s">
        <v>262</v>
      </c>
      <c r="K36">
        <v>12</v>
      </c>
      <c r="L36">
        <f t="shared" si="0"/>
        <v>12</v>
      </c>
      <c r="AG36" t="s">
        <v>246</v>
      </c>
      <c r="AH36" t="s">
        <v>265</v>
      </c>
      <c r="AJ36">
        <v>464</v>
      </c>
      <c r="AK36">
        <f t="shared" si="1"/>
        <v>464</v>
      </c>
    </row>
    <row r="37" spans="8:37" x14ac:dyDescent="0.3">
      <c r="H37" t="s">
        <v>247</v>
      </c>
      <c r="I37" t="s">
        <v>270</v>
      </c>
      <c r="K37">
        <v>12</v>
      </c>
      <c r="L37">
        <f t="shared" si="0"/>
        <v>12</v>
      </c>
      <c r="AG37" t="s">
        <v>13</v>
      </c>
      <c r="AH37" t="s">
        <v>599</v>
      </c>
      <c r="AI37">
        <v>456</v>
      </c>
      <c r="AK37">
        <f t="shared" si="1"/>
        <v>456</v>
      </c>
    </row>
    <row r="38" spans="8:37" x14ac:dyDescent="0.3">
      <c r="H38" t="s">
        <v>58</v>
      </c>
      <c r="I38" t="s">
        <v>60</v>
      </c>
      <c r="J38">
        <v>11</v>
      </c>
      <c r="L38">
        <f t="shared" si="0"/>
        <v>11</v>
      </c>
      <c r="AG38" t="s">
        <v>246</v>
      </c>
      <c r="AH38" t="s">
        <v>264</v>
      </c>
      <c r="AJ38">
        <v>364</v>
      </c>
      <c r="AK38">
        <f t="shared" si="1"/>
        <v>364</v>
      </c>
    </row>
    <row r="39" spans="8:37" x14ac:dyDescent="0.3">
      <c r="H39" t="s">
        <v>30</v>
      </c>
      <c r="I39" t="s">
        <v>32</v>
      </c>
      <c r="K39">
        <v>6</v>
      </c>
      <c r="L39">
        <f t="shared" si="0"/>
        <v>6</v>
      </c>
      <c r="AG39" t="s">
        <v>30</v>
      </c>
      <c r="AH39" t="s">
        <v>261</v>
      </c>
      <c r="AJ39">
        <v>361</v>
      </c>
      <c r="AK39">
        <f t="shared" ref="AK39:AK67" si="2">SUM(AI39:AJ39)</f>
        <v>361</v>
      </c>
    </row>
    <row r="40" spans="8:37" x14ac:dyDescent="0.3">
      <c r="H40" t="s">
        <v>597</v>
      </c>
      <c r="I40" t="s">
        <v>136</v>
      </c>
      <c r="J40">
        <v>2</v>
      </c>
      <c r="L40">
        <f t="shared" si="0"/>
        <v>2</v>
      </c>
      <c r="AG40" t="s">
        <v>604</v>
      </c>
      <c r="AH40" t="s">
        <v>384</v>
      </c>
      <c r="AJ40">
        <v>300</v>
      </c>
      <c r="AK40">
        <f t="shared" si="2"/>
        <v>300</v>
      </c>
    </row>
    <row r="41" spans="8:37" x14ac:dyDescent="0.3">
      <c r="AG41" t="s">
        <v>75</v>
      </c>
      <c r="AH41" t="s">
        <v>282</v>
      </c>
      <c r="AJ41">
        <v>292</v>
      </c>
      <c r="AK41">
        <f t="shared" si="2"/>
        <v>292</v>
      </c>
    </row>
    <row r="42" spans="8:37" x14ac:dyDescent="0.3">
      <c r="AG42" t="s">
        <v>30</v>
      </c>
      <c r="AH42" t="s">
        <v>326</v>
      </c>
      <c r="AJ42">
        <v>286</v>
      </c>
      <c r="AK42">
        <f t="shared" si="2"/>
        <v>286</v>
      </c>
    </row>
    <row r="43" spans="8:37" x14ac:dyDescent="0.3">
      <c r="AG43" t="s">
        <v>188</v>
      </c>
      <c r="AH43" t="s">
        <v>190</v>
      </c>
      <c r="AJ43">
        <v>247</v>
      </c>
      <c r="AK43">
        <f t="shared" si="2"/>
        <v>247</v>
      </c>
    </row>
    <row r="44" spans="8:37" x14ac:dyDescent="0.3">
      <c r="AG44" t="s">
        <v>606</v>
      </c>
      <c r="AH44" t="s">
        <v>272</v>
      </c>
      <c r="AJ44">
        <v>219</v>
      </c>
      <c r="AK44">
        <f t="shared" si="2"/>
        <v>219</v>
      </c>
    </row>
    <row r="45" spans="8:37" x14ac:dyDescent="0.3">
      <c r="AG45" t="s">
        <v>604</v>
      </c>
      <c r="AH45" t="s">
        <v>673</v>
      </c>
      <c r="AJ45">
        <v>217</v>
      </c>
      <c r="AK45">
        <f t="shared" si="2"/>
        <v>217</v>
      </c>
    </row>
    <row r="46" spans="8:37" x14ac:dyDescent="0.3">
      <c r="AG46" t="s">
        <v>188</v>
      </c>
      <c r="AH46" t="s">
        <v>190</v>
      </c>
      <c r="AI46">
        <v>143</v>
      </c>
      <c r="AK46">
        <f t="shared" si="2"/>
        <v>143</v>
      </c>
    </row>
    <row r="47" spans="8:37" x14ac:dyDescent="0.3">
      <c r="AG47" t="s">
        <v>188</v>
      </c>
      <c r="AH47" t="s">
        <v>396</v>
      </c>
      <c r="AJ47">
        <v>135</v>
      </c>
      <c r="AK47">
        <f t="shared" si="2"/>
        <v>135</v>
      </c>
    </row>
    <row r="48" spans="8:37" x14ac:dyDescent="0.3">
      <c r="AG48" t="s">
        <v>188</v>
      </c>
      <c r="AH48" t="s">
        <v>301</v>
      </c>
      <c r="AJ48">
        <v>110</v>
      </c>
      <c r="AK48">
        <f t="shared" si="2"/>
        <v>110</v>
      </c>
    </row>
    <row r="49" spans="33:37" x14ac:dyDescent="0.3">
      <c r="AG49" t="s">
        <v>606</v>
      </c>
      <c r="AH49" t="s">
        <v>274</v>
      </c>
      <c r="AJ49">
        <v>98</v>
      </c>
      <c r="AK49">
        <f t="shared" si="2"/>
        <v>98</v>
      </c>
    </row>
    <row r="50" spans="33:37" x14ac:dyDescent="0.3">
      <c r="AG50" t="s">
        <v>18</v>
      </c>
      <c r="AH50" t="s">
        <v>20</v>
      </c>
      <c r="AI50">
        <v>85</v>
      </c>
      <c r="AK50">
        <f t="shared" si="2"/>
        <v>85</v>
      </c>
    </row>
    <row r="51" spans="33:37" x14ac:dyDescent="0.3">
      <c r="AG51" t="s">
        <v>184</v>
      </c>
      <c r="AH51" t="s">
        <v>186</v>
      </c>
      <c r="AJ51">
        <v>70</v>
      </c>
      <c r="AK51">
        <f t="shared" si="2"/>
        <v>70</v>
      </c>
    </row>
    <row r="52" spans="33:37" x14ac:dyDescent="0.3">
      <c r="AG52" t="s">
        <v>1</v>
      </c>
      <c r="AH52" t="s">
        <v>3</v>
      </c>
      <c r="AI52">
        <v>67</v>
      </c>
      <c r="AK52">
        <f t="shared" si="2"/>
        <v>67</v>
      </c>
    </row>
    <row r="53" spans="33:37" x14ac:dyDescent="0.3">
      <c r="AG53" t="s">
        <v>597</v>
      </c>
      <c r="AH53" t="s">
        <v>136</v>
      </c>
      <c r="AI53">
        <v>59</v>
      </c>
      <c r="AK53">
        <f t="shared" si="2"/>
        <v>59</v>
      </c>
    </row>
    <row r="54" spans="33:37" x14ac:dyDescent="0.3">
      <c r="AG54" t="s">
        <v>37</v>
      </c>
      <c r="AH54" t="s">
        <v>44</v>
      </c>
      <c r="AJ54">
        <v>59</v>
      </c>
      <c r="AK54">
        <f t="shared" si="2"/>
        <v>59</v>
      </c>
    </row>
    <row r="55" spans="33:37" x14ac:dyDescent="0.3">
      <c r="AG55" t="s">
        <v>37</v>
      </c>
      <c r="AH55" t="s">
        <v>54</v>
      </c>
      <c r="AJ55">
        <v>50</v>
      </c>
      <c r="AK55">
        <f t="shared" si="2"/>
        <v>50</v>
      </c>
    </row>
    <row r="56" spans="33:37" x14ac:dyDescent="0.3">
      <c r="AG56" t="s">
        <v>13</v>
      </c>
      <c r="AH56" t="s">
        <v>664</v>
      </c>
      <c r="AJ56">
        <v>40</v>
      </c>
      <c r="AK56">
        <f t="shared" si="2"/>
        <v>40</v>
      </c>
    </row>
    <row r="57" spans="33:37" x14ac:dyDescent="0.3">
      <c r="AG57" t="s">
        <v>604</v>
      </c>
      <c r="AH57" t="s">
        <v>671</v>
      </c>
      <c r="AJ57">
        <v>39</v>
      </c>
      <c r="AK57">
        <f t="shared" si="2"/>
        <v>39</v>
      </c>
    </row>
    <row r="58" spans="33:37" x14ac:dyDescent="0.3">
      <c r="AG58" t="s">
        <v>597</v>
      </c>
      <c r="AH58" t="s">
        <v>156</v>
      </c>
      <c r="AI58">
        <v>33</v>
      </c>
      <c r="AK58">
        <f t="shared" si="2"/>
        <v>33</v>
      </c>
    </row>
    <row r="59" spans="33:37" x14ac:dyDescent="0.3">
      <c r="AG59" t="s">
        <v>58</v>
      </c>
      <c r="AH59" t="s">
        <v>281</v>
      </c>
      <c r="AJ59">
        <v>33</v>
      </c>
      <c r="AK59">
        <f t="shared" si="2"/>
        <v>33</v>
      </c>
    </row>
    <row r="60" spans="33:37" x14ac:dyDescent="0.3">
      <c r="AG60" t="s">
        <v>37</v>
      </c>
      <c r="AH60" t="s">
        <v>260</v>
      </c>
      <c r="AJ60">
        <v>17</v>
      </c>
      <c r="AK60">
        <f t="shared" si="2"/>
        <v>17</v>
      </c>
    </row>
    <row r="61" spans="33:37" x14ac:dyDescent="0.3">
      <c r="AG61" t="s">
        <v>103</v>
      </c>
      <c r="AH61" t="s">
        <v>108</v>
      </c>
      <c r="AI61">
        <v>15</v>
      </c>
      <c r="AK61">
        <f t="shared" si="2"/>
        <v>15</v>
      </c>
    </row>
    <row r="62" spans="33:37" x14ac:dyDescent="0.3">
      <c r="AG62" t="s">
        <v>604</v>
      </c>
      <c r="AH62" t="s">
        <v>297</v>
      </c>
      <c r="AJ62">
        <v>15</v>
      </c>
      <c r="AK62">
        <f t="shared" si="2"/>
        <v>15</v>
      </c>
    </row>
    <row r="63" spans="33:37" x14ac:dyDescent="0.3">
      <c r="AG63" t="s">
        <v>75</v>
      </c>
      <c r="AH63" t="s">
        <v>77</v>
      </c>
      <c r="AI63">
        <v>12</v>
      </c>
      <c r="AK63">
        <f t="shared" si="2"/>
        <v>12</v>
      </c>
    </row>
    <row r="64" spans="33:37" x14ac:dyDescent="0.3">
      <c r="AG64" t="s">
        <v>597</v>
      </c>
      <c r="AH64" t="s">
        <v>140</v>
      </c>
      <c r="AI64">
        <v>6</v>
      </c>
      <c r="AK64">
        <f t="shared" si="2"/>
        <v>6</v>
      </c>
    </row>
    <row r="65" spans="33:37" x14ac:dyDescent="0.3">
      <c r="AG65" t="s">
        <v>30</v>
      </c>
      <c r="AH65" t="s">
        <v>32</v>
      </c>
      <c r="AI65">
        <v>2</v>
      </c>
      <c r="AK65">
        <f t="shared" si="2"/>
        <v>2</v>
      </c>
    </row>
    <row r="66" spans="33:37" x14ac:dyDescent="0.3">
      <c r="AG66" t="s">
        <v>58</v>
      </c>
      <c r="AH66" t="s">
        <v>60</v>
      </c>
      <c r="AI66">
        <v>1</v>
      </c>
      <c r="AK66">
        <f t="shared" si="2"/>
        <v>1</v>
      </c>
    </row>
    <row r="67" spans="33:37" x14ac:dyDescent="0.3">
      <c r="AG67" t="s">
        <v>597</v>
      </c>
      <c r="AH67" t="s">
        <v>156</v>
      </c>
      <c r="AJ67">
        <v>1</v>
      </c>
      <c r="AK67">
        <f t="shared" si="2"/>
        <v>1</v>
      </c>
    </row>
  </sheetData>
  <sortState xmlns:xlrd2="http://schemas.microsoft.com/office/spreadsheetml/2017/richdata2" ref="AG7:AK67">
    <sortCondition descending="1" ref="AK7:AK6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README</vt:lpstr>
      <vt:lpstr>Sheet5</vt:lpstr>
      <vt:lpstr>PDI Sites</vt:lpstr>
      <vt:lpstr>PDI Famille accueil</vt:lpstr>
      <vt:lpstr>Sheet2</vt:lpstr>
      <vt:lpstr>Sheet3</vt:lpstr>
      <vt:lpstr>Sheet4</vt:lpstr>
      <vt:lpstr>Situation globale</vt:lpstr>
      <vt:lpstr>Sheet1</vt:lpstr>
      <vt:lpstr>'PDI Sites'!Print_Area</vt:lpstr>
      <vt:lpstr>'PDI Sites'!Print_Titles</vt:lpstr>
      <vt:lpstr>'PDI Famille accueil'!Table2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Fredy Regis Komaria Mangao</dc:creator>
  <cp:lastModifiedBy>Baudelaire Sambe-yarakpa</cp:lastModifiedBy>
  <cp:lastPrinted>2025-04-23T07:30:35Z</cp:lastPrinted>
  <dcterms:created xsi:type="dcterms:W3CDTF">2023-06-13T10:56:56Z</dcterms:created>
  <dcterms:modified xsi:type="dcterms:W3CDTF">2025-06-18T14:44:34Z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2024-06-14T08:44:47Z</vt:filetime>
  </property>
</Properties>
</file>